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000" firstSheet="1" activeTab="1"/>
  </bookViews>
  <sheets>
    <sheet name="Punktetabelle" sheetId="1" r:id="rId1"/>
    <sheet name="Bayer. Meisterschaft" sheetId="2" r:id="rId2"/>
    <sheet name="Schwandorf 03.10.2014" sheetId="3" r:id="rId3"/>
    <sheet name="München 26.04.2015" sheetId="4" r:id="rId4"/>
    <sheet name="Gerolzhofen 17.05.2015" sheetId="5" r:id="rId5"/>
    <sheet name="Thannhausen 07.06.2015" sheetId="6" r:id="rId6"/>
    <sheet name="Nürnberg 19.07.2015" sheetId="7" r:id="rId7"/>
    <sheet name="Leer" sheetId="8" r:id="rId8"/>
  </sheets>
  <definedNames>
    <definedName name="_xlnm.Print_Area" localSheetId="1">'Bayer. Meisterschaft'!$A:$IV</definedName>
  </definedNames>
  <calcPr fullCalcOnLoad="1"/>
</workbook>
</file>

<file path=xl/sharedStrings.xml><?xml version="1.0" encoding="utf-8"?>
<sst xmlns="http://schemas.openxmlformats.org/spreadsheetml/2006/main" count="346" uniqueCount="152">
  <si>
    <t>Bestzeit außen</t>
  </si>
  <si>
    <t>Laufbestzeiten</t>
  </si>
  <si>
    <t>Starts</t>
  </si>
  <si>
    <t>Vorlauf links</t>
  </si>
  <si>
    <t>Vorlauf rechts</t>
  </si>
  <si>
    <t>1. Lauf links</t>
  </si>
  <si>
    <t>2. Lauf links</t>
  </si>
  <si>
    <t>2. Lauf rechts</t>
  </si>
  <si>
    <t>Bestzeit links</t>
  </si>
  <si>
    <t>Vorlauf</t>
  </si>
  <si>
    <t>Caroline Steinfeld</t>
  </si>
  <si>
    <t>Lorena Franciotti</t>
  </si>
  <si>
    <t>Justus Zink</t>
  </si>
  <si>
    <t>Kerstin Braun</t>
  </si>
  <si>
    <t>Marie Reinstein</t>
  </si>
  <si>
    <t>Peter Sigel</t>
  </si>
  <si>
    <t>40.64</t>
  </si>
  <si>
    <t>Annika Hollweck</t>
  </si>
  <si>
    <t>Samuel Kunkel</t>
  </si>
  <si>
    <t>Marie Hugo</t>
  </si>
  <si>
    <t>Wertung Bahn 1</t>
  </si>
  <si>
    <t>Wertung Bahn 2</t>
  </si>
  <si>
    <t>innen</t>
  </si>
  <si>
    <t>außen</t>
  </si>
  <si>
    <t>innen</t>
  </si>
  <si>
    <t>außen</t>
  </si>
  <si>
    <t>innen</t>
  </si>
  <si>
    <t xml:space="preserve">Vorlauf Bahn 2 </t>
  </si>
  <si>
    <t>Amelie Zink</t>
  </si>
  <si>
    <t>Jakob Schiller</t>
  </si>
  <si>
    <t>in Thannhausen am 07.06.2015</t>
  </si>
  <si>
    <t>München</t>
  </si>
  <si>
    <t>Nürnberg</t>
  </si>
  <si>
    <t>Teilnehmer</t>
  </si>
  <si>
    <t>5 Wertungsläufe - die Streichergebnisse sind rot unterlegt!</t>
  </si>
  <si>
    <t>Alles Gute und bis bald, Markus Schrüfer</t>
  </si>
  <si>
    <t xml:space="preserve">Strohmaier </t>
  </si>
  <si>
    <t>Kunzlmann</t>
  </si>
  <si>
    <t>1.Lauf rechts</t>
  </si>
  <si>
    <t>5. Wertungslauf zur Bayerischen Meisterschaft 2012</t>
  </si>
  <si>
    <t>Bayerischen Meisterschaft 2015 - Juniorklasse - vorläufig</t>
  </si>
  <si>
    <t>Schwandorf</t>
  </si>
  <si>
    <t>1. Wertungslauf zur Bayerischen Meisterschaft 2015</t>
  </si>
  <si>
    <t>in Schwandorf am 03.10.2014</t>
  </si>
  <si>
    <t>in München 26.04.2015</t>
  </si>
  <si>
    <t>2. Wertungslauf zur Bayerischen Meisterschaft 2015</t>
  </si>
  <si>
    <t>3. Wertungslauf zur Bayerischen Meisterschaft 2015</t>
  </si>
  <si>
    <t xml:space="preserve"> </t>
  </si>
  <si>
    <t xml:space="preserve"> </t>
  </si>
  <si>
    <t>Startnr.</t>
  </si>
  <si>
    <t>Name</t>
  </si>
  <si>
    <t>Gesamt</t>
  </si>
  <si>
    <t>Platz</t>
  </si>
  <si>
    <t>Endergebnis Junior-Klasse</t>
  </si>
  <si>
    <t>Starter</t>
  </si>
  <si>
    <t>Berechnung:</t>
  </si>
  <si>
    <t>(Teilnehmerzahl-Platz)/Teilnehmerzahl*10+1</t>
  </si>
  <si>
    <t>Punkteverteilung für die Bayerische Meisterschaft</t>
  </si>
  <si>
    <t>In die Wertung zur Bayerischen Meisterschaft kommen die Hälfte aller zur Meisterschaft ausgetragenen Läufe.</t>
  </si>
  <si>
    <t>Jana Brandt</t>
  </si>
  <si>
    <t>Sandy Hugel</t>
  </si>
  <si>
    <t>Jakob Schiller</t>
  </si>
  <si>
    <t>Gibt es z. B. insgesamt 10 Läufe zur Bayerischen Meisterschaft, dann zählen die 5 besten Läufe jedes Fahres.</t>
  </si>
  <si>
    <t>Hat ein Teilnehmer nur diese 5 Läufe oder weniger, dann hat er natürlich keine "Streichresultate"!</t>
  </si>
  <si>
    <t>Beispiel:</t>
  </si>
  <si>
    <t>Punkte</t>
  </si>
  <si>
    <t>Streckenlänge</t>
  </si>
  <si>
    <t>Meter</t>
  </si>
  <si>
    <t>sec.</t>
  </si>
  <si>
    <t>Geschwindigkeit</t>
  </si>
  <si>
    <t>km/h</t>
  </si>
  <si>
    <t>m/sec.</t>
  </si>
  <si>
    <t>Läufe</t>
  </si>
  <si>
    <t>Teilnehmer</t>
  </si>
  <si>
    <t>ca.</t>
  </si>
  <si>
    <t>Bestzeit innen</t>
  </si>
  <si>
    <t>1. Vorlauf</t>
  </si>
  <si>
    <t>Bahn 2</t>
  </si>
  <si>
    <t>1.Wertungslauf</t>
  </si>
  <si>
    <t xml:space="preserve">2. Wertungslauf </t>
  </si>
  <si>
    <t>3 Wertungslauf</t>
  </si>
  <si>
    <t>4. Wertungslauf</t>
  </si>
  <si>
    <t>Bahn 1</t>
  </si>
  <si>
    <t>Bahn 2</t>
  </si>
  <si>
    <t>1. Wertungslauf</t>
  </si>
  <si>
    <t>2.Wertungslauf</t>
  </si>
  <si>
    <t>3. Wertungslauf</t>
  </si>
  <si>
    <t>4.Wertungslauf</t>
  </si>
  <si>
    <t>Caroline Steinfeld</t>
  </si>
  <si>
    <t>Lorena Franciotti</t>
  </si>
  <si>
    <t>Vorlauf</t>
  </si>
  <si>
    <t>Bahn 2</t>
  </si>
  <si>
    <t>Bahn 1</t>
  </si>
  <si>
    <t>Bahn 2</t>
  </si>
  <si>
    <t>Vorlauf Bahn 1</t>
  </si>
  <si>
    <t xml:space="preserve">1. Lauf </t>
  </si>
  <si>
    <t xml:space="preserve">Vorlauf </t>
  </si>
  <si>
    <t xml:space="preserve">2. Lauf </t>
  </si>
  <si>
    <t xml:space="preserve">3. Lauf </t>
  </si>
  <si>
    <t xml:space="preserve">4. Lauf </t>
  </si>
  <si>
    <t>Gerolzhofen</t>
  </si>
  <si>
    <t>Thannhausen</t>
  </si>
  <si>
    <t>Lucas Riga</t>
  </si>
  <si>
    <t>Justus Zink</t>
  </si>
  <si>
    <t>Samuel Kunkel</t>
  </si>
  <si>
    <t>Marie Hugo</t>
  </si>
  <si>
    <t>Amelie Zink</t>
  </si>
  <si>
    <t>Peter Siegel</t>
  </si>
  <si>
    <t>Bestzeit rechts</t>
  </si>
  <si>
    <t>Wettstetten</t>
  </si>
  <si>
    <t>Sigel Adrian</t>
  </si>
  <si>
    <t>erreicht: Platz 3</t>
  </si>
  <si>
    <t>14 - 3 = 11</t>
  </si>
  <si>
    <t>11 / 14 = 0,786</t>
  </si>
  <si>
    <t>0,786 * 10 = 7,86</t>
  </si>
  <si>
    <t>7,86 + 1 =</t>
  </si>
  <si>
    <t>ergibt eine Punktzahl von:</t>
  </si>
  <si>
    <t>Start auf:</t>
  </si>
  <si>
    <t>Höhenmeter</t>
  </si>
  <si>
    <t>Ziel auf:</t>
  </si>
  <si>
    <t>Höhendifferenz:</t>
  </si>
  <si>
    <t>Streckenlänge:</t>
  </si>
  <si>
    <t>Gefälle durchschnittlich:</t>
  </si>
  <si>
    <t>Rückstand Franziska auf den 1.</t>
  </si>
  <si>
    <t>1 Rad Nr. aus Räderpool an MSCSchwandorf verkauft für 17,50 Euro - 26.07.2009</t>
  </si>
  <si>
    <t>Behrschmidt Marleen</t>
  </si>
  <si>
    <t>Tröger Sonja</t>
  </si>
  <si>
    <t>Engelhardt Jannik</t>
  </si>
  <si>
    <t>Habermeyer Eva</t>
  </si>
  <si>
    <t>Trenkle Bea</t>
  </si>
  <si>
    <t>Habermeyer Markus</t>
  </si>
  <si>
    <t>Heinz Adrian</t>
  </si>
  <si>
    <t>1. L links</t>
  </si>
  <si>
    <t>1. L rechts</t>
  </si>
  <si>
    <t>2. L links</t>
  </si>
  <si>
    <t>2. L rechts</t>
  </si>
  <si>
    <t>Wagner Adrian</t>
  </si>
  <si>
    <t>Schrüfer</t>
  </si>
  <si>
    <t>Schoberth</t>
  </si>
  <si>
    <t xml:space="preserve"> Wertungslauf  zur Bayerischen Meisterschaft 2012</t>
  </si>
  <si>
    <t>4. Wertungslauf zur Bayerischen Meisterschaft 2015</t>
  </si>
  <si>
    <t>in Nürnberg am 19.07.2015</t>
  </si>
  <si>
    <t>Kerstin Braun</t>
  </si>
  <si>
    <t>Annika Hollweck</t>
  </si>
  <si>
    <t>Marie Reinstein</t>
  </si>
  <si>
    <t>Carlos Reinstein</t>
  </si>
  <si>
    <t>Vorlauf Bahn2</t>
  </si>
  <si>
    <t>Bestzeit Bahn 1</t>
  </si>
  <si>
    <t>Bestzeit Bahn 2</t>
  </si>
  <si>
    <t>in Gerolzhofen am 17.05.2015</t>
  </si>
  <si>
    <t>Carlos Reinstein</t>
  </si>
  <si>
    <t>Lucas Riga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</si>
</sst>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_ ;[Red]\-0.00\ "/>
    <numFmt numFmtId="188" formatCode="[$-407]dddd\,\ d\.\ mmmm\ yyyy"/>
    <numFmt numFmtId="189" formatCode="dd/mm/yy;@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2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21" borderId="19" xfId="0" applyFill="1" applyBorder="1" applyAlignment="1">
      <alignment/>
    </xf>
    <xf numFmtId="0" fontId="4" fillId="21" borderId="20" xfId="0" applyFont="1" applyFill="1" applyBorder="1" applyAlignment="1">
      <alignment horizontal="right"/>
    </xf>
    <xf numFmtId="0" fontId="1" fillId="21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2" fontId="1" fillId="1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4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0" fontId="4" fillId="4" borderId="36" xfId="0" applyFont="1" applyFill="1" applyBorder="1" applyAlignment="1">
      <alignment horizontal="center"/>
    </xf>
    <xf numFmtId="0" fontId="1" fillId="21" borderId="3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2" fontId="1" fillId="24" borderId="37" xfId="0" applyNumberFormat="1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right"/>
    </xf>
    <xf numFmtId="2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24" borderId="37" xfId="0" applyNumberFormat="1" applyFont="1" applyFill="1" applyBorder="1" applyAlignment="1">
      <alignment horizontal="center"/>
    </xf>
    <xf numFmtId="180" fontId="1" fillId="24" borderId="0" xfId="0" applyNumberFormat="1" applyFont="1" applyFill="1" applyBorder="1" applyAlignment="1">
      <alignment/>
    </xf>
    <xf numFmtId="180" fontId="1" fillId="10" borderId="0" xfId="0" applyNumberFormat="1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42" xfId="0" applyFont="1" applyBorder="1" applyAlignment="1">
      <alignment/>
    </xf>
    <xf numFmtId="2" fontId="11" fillId="0" borderId="42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/>
    </xf>
    <xf numFmtId="180" fontId="11" fillId="0" borderId="42" xfId="0" applyNumberFormat="1" applyFont="1" applyBorder="1" applyAlignment="1">
      <alignment/>
    </xf>
    <xf numFmtId="0" fontId="11" fillId="0" borderId="42" xfId="0" applyFont="1" applyBorder="1" applyAlignment="1">
      <alignment horizontal="right"/>
    </xf>
    <xf numFmtId="2" fontId="11" fillId="24" borderId="10" xfId="0" applyNumberFormat="1" applyFont="1" applyFill="1" applyBorder="1" applyAlignment="1">
      <alignment/>
    </xf>
    <xf numFmtId="2" fontId="11" fillId="24" borderId="42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0" fontId="1" fillId="0" borderId="28" xfId="0" applyNumberFormat="1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 horizontal="center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30" fillId="4" borderId="17" xfId="0" applyFont="1" applyFill="1" applyBorder="1" applyAlignment="1">
      <alignment horizontal="center"/>
    </xf>
    <xf numFmtId="1" fontId="30" fillId="4" borderId="17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4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0" fillId="4" borderId="45" xfId="0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2" fontId="1" fillId="25" borderId="20" xfId="0" applyNumberFormat="1" applyFont="1" applyFill="1" applyBorder="1" applyAlignment="1">
      <alignment horizontal="center"/>
    </xf>
    <xf numFmtId="2" fontId="1" fillId="25" borderId="15" xfId="0" applyNumberFormat="1" applyFont="1" applyFill="1" applyBorder="1" applyAlignment="1">
      <alignment horizontal="center"/>
    </xf>
    <xf numFmtId="2" fontId="0" fillId="25" borderId="20" xfId="0" applyNumberFormat="1" applyFill="1" applyBorder="1" applyAlignment="1">
      <alignment/>
    </xf>
    <xf numFmtId="2" fontId="0" fillId="25" borderId="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0" fontId="0" fillId="25" borderId="0" xfId="0" applyFill="1" applyAlignment="1">
      <alignment/>
    </xf>
    <xf numFmtId="2" fontId="1" fillId="26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2" fontId="1" fillId="26" borderId="20" xfId="0" applyNumberFormat="1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center"/>
    </xf>
    <xf numFmtId="2" fontId="1" fillId="17" borderId="10" xfId="0" applyNumberFormat="1" applyFont="1" applyFill="1" applyBorder="1" applyAlignment="1">
      <alignment horizontal="center"/>
    </xf>
    <xf numFmtId="2" fontId="1" fillId="17" borderId="20" xfId="0" applyNumberFormat="1" applyFont="1" applyFill="1" applyBorder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2" fontId="0" fillId="25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" fillId="24" borderId="46" xfId="0" applyFont="1" applyFill="1" applyBorder="1" applyAlignment="1">
      <alignment horizontal="center"/>
    </xf>
    <xf numFmtId="0" fontId="1" fillId="24" borderId="52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0" fontId="1" fillId="21" borderId="3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rgb="FF006411"/>
      </font>
      <border/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="150" zoomScaleNormal="150" zoomScalePageLayoutView="0" workbookViewId="0" topLeftCell="A1">
      <selection activeCell="B45" sqref="B45"/>
    </sheetView>
  </sheetViews>
  <sheetFormatPr defaultColWidth="11.421875" defaultRowHeight="12.75"/>
  <cols>
    <col min="1" max="21" width="6.421875" style="0" customWidth="1"/>
    <col min="22" max="32" width="6.421875" style="0" hidden="1" customWidth="1"/>
    <col min="33" max="33" width="7.421875" style="0" bestFit="1" customWidth="1"/>
  </cols>
  <sheetData>
    <row r="1" spans="1:33" ht="16.5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18"/>
    </row>
    <row r="3" spans="1:33" ht="12">
      <c r="A3" s="20"/>
      <c r="B3" s="21" t="s">
        <v>54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  <c r="Q3" s="22">
        <v>15</v>
      </c>
      <c r="R3" s="22">
        <v>16</v>
      </c>
      <c r="S3" s="22">
        <v>17</v>
      </c>
      <c r="T3" s="22">
        <v>18</v>
      </c>
      <c r="U3" s="22">
        <v>19</v>
      </c>
      <c r="V3" s="22">
        <v>20</v>
      </c>
      <c r="W3" s="22">
        <v>21</v>
      </c>
      <c r="X3" s="22">
        <v>22</v>
      </c>
      <c r="Y3" s="22">
        <v>23</v>
      </c>
      <c r="Z3" s="22">
        <v>24</v>
      </c>
      <c r="AA3" s="22">
        <v>25</v>
      </c>
      <c r="AB3" s="22">
        <v>26</v>
      </c>
      <c r="AC3" s="22">
        <v>27</v>
      </c>
      <c r="AD3" s="22">
        <v>28</v>
      </c>
      <c r="AE3" s="22">
        <v>29</v>
      </c>
      <c r="AF3" s="22">
        <v>30</v>
      </c>
      <c r="AG3" s="23" t="s">
        <v>52</v>
      </c>
    </row>
    <row r="4" spans="1:33" ht="12">
      <c r="A4" s="108" t="s">
        <v>52</v>
      </c>
      <c r="B4" s="19">
        <v>1</v>
      </c>
      <c r="C4" s="13">
        <v>1</v>
      </c>
      <c r="D4" s="13">
        <v>6</v>
      </c>
      <c r="E4" s="13">
        <v>7.67</v>
      </c>
      <c r="F4" s="13">
        <v>8.5</v>
      </c>
      <c r="G4" s="13">
        <v>9</v>
      </c>
      <c r="H4" s="13">
        <v>9.33</v>
      </c>
      <c r="I4" s="13">
        <v>9.57</v>
      </c>
      <c r="J4" s="13">
        <v>9.75</v>
      </c>
      <c r="K4" s="13">
        <v>9.89</v>
      </c>
      <c r="L4" s="13">
        <v>10</v>
      </c>
      <c r="M4" s="13">
        <v>10.09</v>
      </c>
      <c r="N4" s="13">
        <v>10.17</v>
      </c>
      <c r="O4" s="13">
        <v>10.23</v>
      </c>
      <c r="P4" s="13">
        <v>10.29</v>
      </c>
      <c r="Q4" s="13">
        <v>10.33</v>
      </c>
      <c r="R4" s="13">
        <v>10.38</v>
      </c>
      <c r="S4" s="13">
        <v>10.41</v>
      </c>
      <c r="T4" s="13">
        <v>10.44</v>
      </c>
      <c r="U4" s="13">
        <v>10.47</v>
      </c>
      <c r="V4" s="13">
        <v>10.5</v>
      </c>
      <c r="W4" s="13">
        <f>(21-1)/21*10+1</f>
        <v>10.523809523809524</v>
      </c>
      <c r="X4" s="13">
        <f>(22-1)/22*10+1</f>
        <v>10.545454545454547</v>
      </c>
      <c r="Y4" s="13">
        <f>(23-1)/23*10+1</f>
        <v>10.565217391304348</v>
      </c>
      <c r="Z4" s="13">
        <f>(24-1)/24*10+1</f>
        <v>10.583333333333334</v>
      </c>
      <c r="AA4" s="13">
        <v>10.6</v>
      </c>
      <c r="AB4" s="13">
        <f>(26-1)/26*10+1</f>
        <v>10.615384615384615</v>
      </c>
      <c r="AC4" s="13">
        <f>(27-1)/27*10+1</f>
        <v>10.62962962962963</v>
      </c>
      <c r="AD4" s="13">
        <f>(28-1)/28*10+1</f>
        <v>10.642857142857142</v>
      </c>
      <c r="AE4" s="13">
        <f>(29-1)/29*10+1</f>
        <v>10.655172413793103</v>
      </c>
      <c r="AF4" s="13">
        <f>(30-1)/30*10+1</f>
        <v>10.666666666666666</v>
      </c>
      <c r="AG4" s="19">
        <v>1</v>
      </c>
    </row>
    <row r="5" spans="2:33" ht="12">
      <c r="B5" s="19">
        <v>2</v>
      </c>
      <c r="C5" s="13"/>
      <c r="D5" s="13">
        <v>1</v>
      </c>
      <c r="E5" s="13">
        <v>4.33</v>
      </c>
      <c r="F5" s="13">
        <v>6</v>
      </c>
      <c r="G5" s="13">
        <v>7</v>
      </c>
      <c r="H5" s="13">
        <v>7.67</v>
      </c>
      <c r="I5" s="13">
        <v>8.14</v>
      </c>
      <c r="J5" s="13">
        <v>8.5</v>
      </c>
      <c r="K5" s="13">
        <v>8.78</v>
      </c>
      <c r="L5" s="13">
        <v>9</v>
      </c>
      <c r="M5" s="13">
        <v>9.18</v>
      </c>
      <c r="N5" s="13">
        <v>9.33</v>
      </c>
      <c r="O5" s="13">
        <v>9.46</v>
      </c>
      <c r="P5" s="13">
        <v>9.57</v>
      </c>
      <c r="Q5" s="13">
        <v>9.67</v>
      </c>
      <c r="R5" s="13">
        <v>9.75</v>
      </c>
      <c r="S5" s="13">
        <v>9.82</v>
      </c>
      <c r="T5" s="13">
        <v>9.89</v>
      </c>
      <c r="U5" s="13">
        <v>9.95</v>
      </c>
      <c r="V5" s="13">
        <v>10</v>
      </c>
      <c r="W5" s="13">
        <f>(21-2)/21*10+1</f>
        <v>10.047619047619047</v>
      </c>
      <c r="X5" s="13">
        <f>(22-2)/22*10+1</f>
        <v>10.09090909090909</v>
      </c>
      <c r="Y5" s="13">
        <f>(23-2)/23*10+1</f>
        <v>10.130434782608695</v>
      </c>
      <c r="Z5" s="13">
        <f>(24-2)/24*10+1</f>
        <v>10.166666666666666</v>
      </c>
      <c r="AA5" s="13">
        <v>10.2</v>
      </c>
      <c r="AB5" s="13">
        <f>(26-2)/26*10+1</f>
        <v>10.230769230769232</v>
      </c>
      <c r="AC5" s="13">
        <f>(27-2)/27*10+1</f>
        <v>10.25925925925926</v>
      </c>
      <c r="AD5" s="13">
        <f>(28-2)/28*10+1</f>
        <v>10.285714285714286</v>
      </c>
      <c r="AE5" s="13">
        <f>(29-2)/29*10+1</f>
        <v>10.310344827586206</v>
      </c>
      <c r="AF5" s="13">
        <f>(30-2)/30*10+1</f>
        <v>10.333333333333334</v>
      </c>
      <c r="AG5" s="19">
        <v>2</v>
      </c>
    </row>
    <row r="6" spans="2:33" ht="12">
      <c r="B6" s="19">
        <v>3</v>
      </c>
      <c r="C6" s="13"/>
      <c r="D6" s="13"/>
      <c r="E6" s="13">
        <v>1</v>
      </c>
      <c r="F6" s="13">
        <v>3.5</v>
      </c>
      <c r="G6" s="13">
        <v>5</v>
      </c>
      <c r="H6" s="13">
        <v>6</v>
      </c>
      <c r="I6" s="13">
        <v>6.71</v>
      </c>
      <c r="J6" s="13">
        <v>7.25</v>
      </c>
      <c r="K6" s="13">
        <v>7.67</v>
      </c>
      <c r="L6" s="13">
        <v>8</v>
      </c>
      <c r="M6" s="13">
        <v>8.27</v>
      </c>
      <c r="N6" s="13">
        <v>8.5</v>
      </c>
      <c r="O6" s="13">
        <v>8.69</v>
      </c>
      <c r="P6" s="119">
        <v>8.86</v>
      </c>
      <c r="Q6" s="13">
        <v>9</v>
      </c>
      <c r="R6" s="13">
        <v>9.13</v>
      </c>
      <c r="S6" s="13">
        <v>9.24</v>
      </c>
      <c r="T6" s="13">
        <v>9.33</v>
      </c>
      <c r="U6" s="13">
        <v>9.42</v>
      </c>
      <c r="V6" s="13">
        <v>9.5</v>
      </c>
      <c r="W6" s="13">
        <f>(21-3)/21*10+1</f>
        <v>9.571428571428571</v>
      </c>
      <c r="X6" s="13">
        <f>(22-3)/22*10+1</f>
        <v>9.636363636363637</v>
      </c>
      <c r="Y6" s="13">
        <f>(23-3)/23*10+1</f>
        <v>9.695652173913043</v>
      </c>
      <c r="Z6" s="13">
        <f>(24-3)/24*10+1</f>
        <v>9.75</v>
      </c>
      <c r="AA6" s="13">
        <v>9.8</v>
      </c>
      <c r="AB6" s="13">
        <f>(26-3)/26*10+1</f>
        <v>9.846153846153847</v>
      </c>
      <c r="AC6" s="13">
        <f>(27-3)/27*10+1</f>
        <v>9.88888888888889</v>
      </c>
      <c r="AD6" s="13">
        <f>(28-3)/28*10+1</f>
        <v>9.928571428571429</v>
      </c>
      <c r="AE6" s="13">
        <f>(29-3)/29*10+1</f>
        <v>9.96551724137931</v>
      </c>
      <c r="AF6" s="13">
        <f>(30-3)/30*10+1</f>
        <v>10</v>
      </c>
      <c r="AG6" s="19">
        <v>3</v>
      </c>
    </row>
    <row r="7" spans="2:33" ht="12">
      <c r="B7" s="19">
        <v>4</v>
      </c>
      <c r="C7" s="13"/>
      <c r="D7" s="13"/>
      <c r="E7" s="13"/>
      <c r="F7" s="13">
        <v>1</v>
      </c>
      <c r="G7" s="13">
        <v>3</v>
      </c>
      <c r="H7" s="13">
        <v>4.33</v>
      </c>
      <c r="I7" s="13">
        <v>5.29</v>
      </c>
      <c r="J7" s="13">
        <v>6</v>
      </c>
      <c r="K7" s="13">
        <v>6.56</v>
      </c>
      <c r="L7" s="13">
        <v>7</v>
      </c>
      <c r="M7" s="13">
        <v>7.36</v>
      </c>
      <c r="N7" s="13">
        <v>7.67</v>
      </c>
      <c r="O7" s="13">
        <v>7.92</v>
      </c>
      <c r="P7" s="13">
        <v>8.14</v>
      </c>
      <c r="Q7" s="13">
        <v>8.33</v>
      </c>
      <c r="R7" s="13">
        <v>8.5</v>
      </c>
      <c r="S7" s="13">
        <v>8.65</v>
      </c>
      <c r="T7" s="13">
        <v>8.78</v>
      </c>
      <c r="U7" s="13">
        <v>8.89</v>
      </c>
      <c r="V7" s="13">
        <v>9</v>
      </c>
      <c r="W7" s="13">
        <f>(21-4)/21*10+1</f>
        <v>9.095238095238095</v>
      </c>
      <c r="X7" s="13">
        <f>(22-4)/22*10+1</f>
        <v>9.181818181818182</v>
      </c>
      <c r="Y7" s="13">
        <f>(23-4)/23*10+1</f>
        <v>9.26086956521739</v>
      </c>
      <c r="Z7" s="13">
        <f>(24-4)/24*10+1</f>
        <v>9.333333333333334</v>
      </c>
      <c r="AA7" s="13">
        <v>9.4</v>
      </c>
      <c r="AB7" s="13">
        <f>(26-4)/26*10+1</f>
        <v>9.461538461538462</v>
      </c>
      <c r="AC7" s="13">
        <f>(27-4)/27*10+1</f>
        <v>9.518518518518519</v>
      </c>
      <c r="AD7" s="13">
        <f>(28-4)/28*10+1</f>
        <v>9.571428571428571</v>
      </c>
      <c r="AE7" s="13">
        <f>(29-4)/29*10+1</f>
        <v>9.620689655172413</v>
      </c>
      <c r="AF7" s="13">
        <f>(30-4)/30*10+1</f>
        <v>9.666666666666668</v>
      </c>
      <c r="AG7" s="19">
        <v>4</v>
      </c>
    </row>
    <row r="8" spans="2:33" ht="12">
      <c r="B8" s="19">
        <v>5</v>
      </c>
      <c r="C8" s="13"/>
      <c r="D8" s="13"/>
      <c r="E8" s="13"/>
      <c r="F8" s="13"/>
      <c r="G8" s="13">
        <v>1</v>
      </c>
      <c r="H8" s="13">
        <v>2.67</v>
      </c>
      <c r="I8" s="13">
        <v>3.86</v>
      </c>
      <c r="J8" s="13">
        <v>4.75</v>
      </c>
      <c r="K8" s="13">
        <v>5.44</v>
      </c>
      <c r="L8" s="13">
        <v>6</v>
      </c>
      <c r="M8" s="13">
        <v>6.45</v>
      </c>
      <c r="N8" s="13">
        <v>6.83</v>
      </c>
      <c r="O8" s="13">
        <v>7.15</v>
      </c>
      <c r="P8" s="13">
        <v>7.43</v>
      </c>
      <c r="Q8" s="13">
        <v>7.67</v>
      </c>
      <c r="R8" s="13">
        <v>7.88</v>
      </c>
      <c r="S8" s="13">
        <v>8.06</v>
      </c>
      <c r="T8" s="13">
        <v>8.22</v>
      </c>
      <c r="U8" s="13">
        <v>8.37</v>
      </c>
      <c r="V8" s="13">
        <v>8.5</v>
      </c>
      <c r="W8" s="13">
        <f>(21-5)/21*10+1</f>
        <v>8.619047619047619</v>
      </c>
      <c r="X8" s="13">
        <f>(22-5)/22*10+1</f>
        <v>8.727272727272727</v>
      </c>
      <c r="Y8" s="13">
        <f>(23-5)/23*10+1</f>
        <v>8.826086956521738</v>
      </c>
      <c r="Z8" s="13">
        <f>(24-5)/24*10+1</f>
        <v>8.916666666666666</v>
      </c>
      <c r="AA8" s="13">
        <v>9</v>
      </c>
      <c r="AB8" s="13">
        <f>(26-5)/26*10+1</f>
        <v>9.076923076923077</v>
      </c>
      <c r="AC8" s="13">
        <f>(27-5)/27*10+1</f>
        <v>9.148148148148147</v>
      </c>
      <c r="AD8" s="13">
        <f>(28-5)/28*10+1</f>
        <v>9.214285714285714</v>
      </c>
      <c r="AE8" s="13">
        <f>(29-5)/29*10+1</f>
        <v>9.275862068965518</v>
      </c>
      <c r="AF8" s="13">
        <f>(30-5)/30*10+1</f>
        <v>9.333333333333334</v>
      </c>
      <c r="AG8" s="19">
        <v>5</v>
      </c>
    </row>
    <row r="9" spans="2:33" ht="12">
      <c r="B9" s="19">
        <v>6</v>
      </c>
      <c r="C9" s="13"/>
      <c r="D9" s="13"/>
      <c r="E9" s="13"/>
      <c r="F9" s="13"/>
      <c r="G9" s="13"/>
      <c r="H9" s="13">
        <v>1</v>
      </c>
      <c r="I9" s="13">
        <v>2.43</v>
      </c>
      <c r="J9" s="13">
        <v>3.5</v>
      </c>
      <c r="K9" s="13">
        <v>4.33</v>
      </c>
      <c r="L9" s="13">
        <v>5</v>
      </c>
      <c r="M9" s="13">
        <v>5.55</v>
      </c>
      <c r="N9" s="13">
        <v>6</v>
      </c>
      <c r="O9" s="13">
        <v>6.38</v>
      </c>
      <c r="P9" s="13">
        <v>6.71</v>
      </c>
      <c r="Q9" s="13">
        <v>7</v>
      </c>
      <c r="R9" s="13">
        <v>7.25</v>
      </c>
      <c r="S9" s="13">
        <v>7.47</v>
      </c>
      <c r="T9" s="13">
        <v>7.67</v>
      </c>
      <c r="U9" s="13">
        <v>7.84</v>
      </c>
      <c r="V9" s="13">
        <v>8</v>
      </c>
      <c r="W9" s="13">
        <f>(21-6)/21*10+1</f>
        <v>8.142857142857142</v>
      </c>
      <c r="X9" s="13">
        <f>(22-6)/22*10+1</f>
        <v>8.272727272727273</v>
      </c>
      <c r="Y9" s="13">
        <f>(23-6)/23*10+1</f>
        <v>8.391304347826086</v>
      </c>
      <c r="Z9" s="13">
        <f>(24-6)/24*10+1</f>
        <v>8.5</v>
      </c>
      <c r="AA9" s="13">
        <v>8.6</v>
      </c>
      <c r="AB9" s="13">
        <f>(26-6)/26*10+1</f>
        <v>8.692307692307693</v>
      </c>
      <c r="AC9" s="13">
        <f>(27-6)/27*10+1</f>
        <v>8.777777777777779</v>
      </c>
      <c r="AD9" s="13">
        <f>(28-6)/28*10+1</f>
        <v>8.857142857142858</v>
      </c>
      <c r="AE9" s="13">
        <f>(29-6)/29*10+1</f>
        <v>8.931034482758621</v>
      </c>
      <c r="AF9" s="13">
        <f>(30-6)/30*10+1</f>
        <v>9</v>
      </c>
      <c r="AG9" s="19">
        <v>6</v>
      </c>
    </row>
    <row r="10" spans="2:33" ht="12">
      <c r="B10" s="19">
        <v>7</v>
      </c>
      <c r="C10" s="13"/>
      <c r="D10" s="13"/>
      <c r="E10" s="13"/>
      <c r="F10" s="13"/>
      <c r="G10" s="13"/>
      <c r="H10" s="13"/>
      <c r="I10" s="13">
        <v>1</v>
      </c>
      <c r="J10" s="13">
        <v>2.25</v>
      </c>
      <c r="K10" s="13">
        <v>3.22</v>
      </c>
      <c r="L10" s="13">
        <v>4</v>
      </c>
      <c r="M10" s="13">
        <v>4.64</v>
      </c>
      <c r="N10" s="13">
        <v>5.17</v>
      </c>
      <c r="O10" s="13">
        <v>5.62</v>
      </c>
      <c r="P10" s="13">
        <v>6</v>
      </c>
      <c r="Q10" s="13">
        <v>6.33</v>
      </c>
      <c r="R10" s="13">
        <v>6.63</v>
      </c>
      <c r="S10" s="13">
        <v>6.88</v>
      </c>
      <c r="T10" s="13">
        <v>7.11</v>
      </c>
      <c r="U10" s="13">
        <v>7.32</v>
      </c>
      <c r="V10" s="13">
        <v>7.5</v>
      </c>
      <c r="W10" s="13">
        <f>(21-7)/21*10+1</f>
        <v>7.666666666666666</v>
      </c>
      <c r="X10" s="13">
        <f>(22-7)/22*10+1</f>
        <v>7.8181818181818175</v>
      </c>
      <c r="Y10" s="13">
        <f>(23-7)/23*10+1</f>
        <v>7.956521739130435</v>
      </c>
      <c r="Z10" s="13">
        <f>(24-7)/24*10+1</f>
        <v>8.083333333333334</v>
      </c>
      <c r="AA10" s="13">
        <v>8.2</v>
      </c>
      <c r="AB10" s="13">
        <f>(26-7)/26*10+1</f>
        <v>8.307692307692307</v>
      </c>
      <c r="AC10" s="13">
        <f>(27-7)/27*10+1</f>
        <v>8.407407407407407</v>
      </c>
      <c r="AD10" s="13">
        <f>(28-7)/28*10+1</f>
        <v>8.5</v>
      </c>
      <c r="AE10" s="13">
        <f>(29-7)/29*10+1</f>
        <v>8.586206896551724</v>
      </c>
      <c r="AF10" s="13">
        <f>(30-7)/30*10+1</f>
        <v>8.666666666666668</v>
      </c>
      <c r="AG10" s="19">
        <v>7</v>
      </c>
    </row>
    <row r="11" spans="2:33" ht="12">
      <c r="B11" s="19">
        <v>8</v>
      </c>
      <c r="C11" s="13"/>
      <c r="D11" s="13"/>
      <c r="E11" s="13"/>
      <c r="F11" s="13"/>
      <c r="G11" s="13"/>
      <c r="H11" s="13"/>
      <c r="I11" s="13"/>
      <c r="J11" s="13">
        <v>1</v>
      </c>
      <c r="K11" s="13">
        <v>2.11</v>
      </c>
      <c r="L11" s="13">
        <v>3</v>
      </c>
      <c r="M11" s="13">
        <v>3.73</v>
      </c>
      <c r="N11" s="13">
        <v>4.33</v>
      </c>
      <c r="O11" s="13">
        <v>4.85</v>
      </c>
      <c r="P11" s="13">
        <v>5.29</v>
      </c>
      <c r="Q11" s="13">
        <v>5.67</v>
      </c>
      <c r="R11" s="13">
        <v>6</v>
      </c>
      <c r="S11" s="13">
        <v>6.29</v>
      </c>
      <c r="T11" s="13">
        <v>6.56</v>
      </c>
      <c r="U11" s="13">
        <v>6.79</v>
      </c>
      <c r="V11" s="13">
        <v>7</v>
      </c>
      <c r="W11" s="13">
        <f>(21-8)/21*10+1</f>
        <v>7.190476190476191</v>
      </c>
      <c r="X11" s="13">
        <f>(22-8)/22*10+1</f>
        <v>7.363636363636363</v>
      </c>
      <c r="Y11" s="13">
        <f>(23-8)/23*10+1</f>
        <v>7.521739130434783</v>
      </c>
      <c r="Z11" s="13">
        <f>(24-8)/24*10+1</f>
        <v>7.666666666666666</v>
      </c>
      <c r="AA11" s="13">
        <v>7.8</v>
      </c>
      <c r="AB11" s="13">
        <f>(26-8)/26*10+1</f>
        <v>7.923076923076923</v>
      </c>
      <c r="AC11" s="13">
        <f>(27-8)/27*10+1</f>
        <v>8.037037037037038</v>
      </c>
      <c r="AD11" s="13">
        <f>(28-8)/28*10+1</f>
        <v>8.142857142857142</v>
      </c>
      <c r="AE11" s="13">
        <f>(29-8)/29*10+1</f>
        <v>8.241379310344827</v>
      </c>
      <c r="AF11" s="13">
        <f>(30-8)/30*10+1</f>
        <v>8.333333333333332</v>
      </c>
      <c r="AG11" s="19">
        <v>8</v>
      </c>
    </row>
    <row r="12" spans="2:33" ht="12">
      <c r="B12" s="19">
        <v>9</v>
      </c>
      <c r="C12" s="13"/>
      <c r="D12" s="13"/>
      <c r="E12" s="13"/>
      <c r="F12" s="13"/>
      <c r="G12" s="13"/>
      <c r="H12" s="13"/>
      <c r="I12" s="13"/>
      <c r="J12" s="13"/>
      <c r="K12" s="13">
        <v>1</v>
      </c>
      <c r="L12" s="13">
        <v>2</v>
      </c>
      <c r="M12" s="13">
        <v>2.82</v>
      </c>
      <c r="N12" s="13">
        <v>3.5</v>
      </c>
      <c r="O12" s="13">
        <v>4.08</v>
      </c>
      <c r="P12" s="13">
        <v>4.57</v>
      </c>
      <c r="Q12" s="13">
        <v>5</v>
      </c>
      <c r="R12" s="13">
        <v>5.38</v>
      </c>
      <c r="S12" s="13">
        <v>5.71</v>
      </c>
      <c r="T12" s="13">
        <v>6</v>
      </c>
      <c r="U12" s="13">
        <v>6.26</v>
      </c>
      <c r="V12" s="13">
        <v>6.5</v>
      </c>
      <c r="W12" s="13">
        <f>(21-9)/21*10+1</f>
        <v>6.7142857142857135</v>
      </c>
      <c r="X12" s="13">
        <f>(22-9)/22*10+1</f>
        <v>6.909090909090909</v>
      </c>
      <c r="Y12" s="13">
        <f>(23-9)/23*10+1</f>
        <v>7.086956521739131</v>
      </c>
      <c r="Z12" s="13">
        <f>(24-9)/24*10+1</f>
        <v>7.25</v>
      </c>
      <c r="AA12" s="13">
        <v>7.4</v>
      </c>
      <c r="AB12" s="13">
        <f>(26-9)/26*10+1</f>
        <v>7.538461538461538</v>
      </c>
      <c r="AC12" s="13">
        <f>(27-9)/27*10+1</f>
        <v>7.666666666666666</v>
      </c>
      <c r="AD12" s="13">
        <f>(28-9)/28*10+1</f>
        <v>7.7857142857142865</v>
      </c>
      <c r="AE12" s="13">
        <f>(29-9)/29*10+1</f>
        <v>7.8965517241379315</v>
      </c>
      <c r="AF12" s="13">
        <f>(30-9)/30*10+1</f>
        <v>8</v>
      </c>
      <c r="AG12" s="19">
        <v>9</v>
      </c>
    </row>
    <row r="13" spans="2:33" ht="12">
      <c r="B13" s="19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>
        <v>1</v>
      </c>
      <c r="M13" s="13">
        <v>1.91</v>
      </c>
      <c r="N13" s="13">
        <v>2.67</v>
      </c>
      <c r="O13" s="13">
        <v>3.31</v>
      </c>
      <c r="P13" s="13">
        <v>3.86</v>
      </c>
      <c r="Q13" s="13">
        <v>4.33</v>
      </c>
      <c r="R13" s="13">
        <v>4.75</v>
      </c>
      <c r="S13" s="13">
        <v>5.12</v>
      </c>
      <c r="T13" s="13">
        <v>5.44</v>
      </c>
      <c r="U13" s="13">
        <v>5.74</v>
      </c>
      <c r="V13" s="13">
        <v>6</v>
      </c>
      <c r="W13" s="13">
        <f>(21-10)/21*10+1</f>
        <v>6.238095238095238</v>
      </c>
      <c r="X13" s="13">
        <f>(22-10)/22*10+1</f>
        <v>6.454545454545454</v>
      </c>
      <c r="Y13" s="13">
        <f>(23-10)/23*10+1</f>
        <v>6.652173913043478</v>
      </c>
      <c r="Z13" s="13">
        <f>(24-10)/24*10+1</f>
        <v>6.833333333333334</v>
      </c>
      <c r="AA13" s="13">
        <v>7</v>
      </c>
      <c r="AB13" s="13">
        <f>(26-10)/26*10+1</f>
        <v>7.153846153846154</v>
      </c>
      <c r="AC13" s="13">
        <f>(27-10)/27*10+1</f>
        <v>7.296296296296297</v>
      </c>
      <c r="AD13" s="13">
        <f>(28-10)/28*10+1</f>
        <v>7.428571428571429</v>
      </c>
      <c r="AE13" s="13">
        <f>(29-10)/29*10+1</f>
        <v>7.551724137931034</v>
      </c>
      <c r="AF13" s="13">
        <f>(30-10)/30*10+1</f>
        <v>7.666666666666666</v>
      </c>
      <c r="AG13" s="19">
        <v>10</v>
      </c>
    </row>
    <row r="14" spans="2:33" ht="12">
      <c r="B14" s="19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1.83</v>
      </c>
      <c r="O14" s="13">
        <v>2.54</v>
      </c>
      <c r="P14" s="13">
        <v>3.14</v>
      </c>
      <c r="Q14" s="13">
        <v>3.67</v>
      </c>
      <c r="R14" s="13">
        <v>4.13</v>
      </c>
      <c r="S14" s="13">
        <v>4.53</v>
      </c>
      <c r="T14" s="13">
        <v>4.89</v>
      </c>
      <c r="U14" s="13">
        <v>5.21</v>
      </c>
      <c r="V14" s="13">
        <v>5.5</v>
      </c>
      <c r="W14" s="13">
        <f>(21-11)/21*10+1</f>
        <v>5.761904761904762</v>
      </c>
      <c r="X14" s="13">
        <f>(22-11)/22*10+1</f>
        <v>6</v>
      </c>
      <c r="Y14" s="13">
        <f>(23-11)/23*10+1</f>
        <v>6.217391304347826</v>
      </c>
      <c r="Z14" s="13">
        <f>(24-11)/24*10+1</f>
        <v>6.416666666666666</v>
      </c>
      <c r="AA14" s="13">
        <v>6.6</v>
      </c>
      <c r="AB14" s="13">
        <f>(26-11)/26*10+1</f>
        <v>6.769230769230768</v>
      </c>
      <c r="AC14" s="13">
        <f>(27-11)/27*10+1</f>
        <v>6.925925925925926</v>
      </c>
      <c r="AD14" s="13">
        <f>(28-11)/28*10+1</f>
        <v>7.071428571428571</v>
      </c>
      <c r="AE14" s="13">
        <f>(29-11)/29*10+1</f>
        <v>7.206896551724138</v>
      </c>
      <c r="AF14" s="13">
        <f>(30-11)/30*10+1</f>
        <v>7.333333333333333</v>
      </c>
      <c r="AG14" s="19">
        <v>11</v>
      </c>
    </row>
    <row r="15" spans="2:33" ht="12">
      <c r="B15" s="19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>
        <v>1.77</v>
      </c>
      <c r="P15" s="13">
        <v>2.43</v>
      </c>
      <c r="Q15" s="13">
        <v>3</v>
      </c>
      <c r="R15" s="13">
        <v>3.5</v>
      </c>
      <c r="S15" s="13">
        <v>3.94</v>
      </c>
      <c r="T15" s="13">
        <v>4.33</v>
      </c>
      <c r="U15" s="13">
        <v>4.68</v>
      </c>
      <c r="V15" s="13">
        <v>5</v>
      </c>
      <c r="W15" s="13">
        <f>(21-12)/21*10+1</f>
        <v>5.285714285714286</v>
      </c>
      <c r="X15" s="13">
        <f>(22-12)/22*10+1</f>
        <v>5.545454545454545</v>
      </c>
      <c r="Y15" s="13">
        <f>(23-12)/23*10+1</f>
        <v>5.782608695652174</v>
      </c>
      <c r="Z15" s="13">
        <f>(24-12)/24*10+1</f>
        <v>6</v>
      </c>
      <c r="AA15" s="13">
        <v>6.2</v>
      </c>
      <c r="AB15" s="13">
        <f>(26-12)/26*10+1</f>
        <v>6.384615384615384</v>
      </c>
      <c r="AC15" s="13">
        <f>(27-12)/27*10+1</f>
        <v>6.555555555555555</v>
      </c>
      <c r="AD15" s="13">
        <f>(28-12)/28*10+1</f>
        <v>6.7142857142857135</v>
      </c>
      <c r="AE15" s="13">
        <f>(29-12)/29*10+1</f>
        <v>6.862068965517241</v>
      </c>
      <c r="AF15" s="13">
        <f>(30-12)/30*10+1</f>
        <v>7</v>
      </c>
      <c r="AG15" s="19">
        <v>12</v>
      </c>
    </row>
    <row r="16" spans="2:33" ht="12">
      <c r="B16" s="19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>
        <v>1.71</v>
      </c>
      <c r="Q16" s="13">
        <v>2.33</v>
      </c>
      <c r="R16" s="13">
        <v>2.88</v>
      </c>
      <c r="S16" s="13">
        <v>3.35</v>
      </c>
      <c r="T16" s="13">
        <v>3.78</v>
      </c>
      <c r="U16" s="13">
        <v>4.16</v>
      </c>
      <c r="V16" s="13">
        <v>4.5</v>
      </c>
      <c r="W16" s="13">
        <f>(21-13)/21*10+1</f>
        <v>4.809523809523809</v>
      </c>
      <c r="X16" s="13">
        <f>(22-13)/22*10+1</f>
        <v>5.090909090909091</v>
      </c>
      <c r="Y16" s="13">
        <f>(23-13)/23*10+1</f>
        <v>5.3478260869565215</v>
      </c>
      <c r="Z16" s="13">
        <f>(24-13)/24*10+1</f>
        <v>5.583333333333333</v>
      </c>
      <c r="AA16" s="13">
        <v>5.8</v>
      </c>
      <c r="AB16" s="13">
        <f>(26-13)/26*10+1</f>
        <v>6</v>
      </c>
      <c r="AC16" s="13">
        <f>(27-13)/27*10+1</f>
        <v>6.185185185185185</v>
      </c>
      <c r="AD16" s="13">
        <f>(28-13)/28*10+1</f>
        <v>6.357142857142857</v>
      </c>
      <c r="AE16" s="13">
        <f>(29-13)/29*10+1</f>
        <v>6.517241379310345</v>
      </c>
      <c r="AF16" s="13">
        <f>(30-13)/30*10+1</f>
        <v>6.666666666666666</v>
      </c>
      <c r="AG16" s="19">
        <v>13</v>
      </c>
    </row>
    <row r="17" spans="2:33" ht="12">
      <c r="B17" s="19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>
        <v>1.67</v>
      </c>
      <c r="R17" s="13">
        <v>2.25</v>
      </c>
      <c r="S17" s="13">
        <v>2.76</v>
      </c>
      <c r="T17" s="13">
        <v>3.22</v>
      </c>
      <c r="U17" s="13">
        <v>3.63</v>
      </c>
      <c r="V17" s="13">
        <v>4</v>
      </c>
      <c r="W17" s="13">
        <f>(21-14)/21*10+1</f>
        <v>4.333333333333333</v>
      </c>
      <c r="X17" s="13">
        <f>(22-14)/22*10+1</f>
        <v>4.636363636363637</v>
      </c>
      <c r="Y17" s="13">
        <f>(23-14)/23*10+1</f>
        <v>4.913043478260869</v>
      </c>
      <c r="Z17" s="13">
        <f>(24-14)/24*10+1</f>
        <v>5.166666666666667</v>
      </c>
      <c r="AA17" s="13">
        <v>5.4</v>
      </c>
      <c r="AB17" s="13">
        <f>(26-14)/26*10+1</f>
        <v>5.615384615384616</v>
      </c>
      <c r="AC17" s="13">
        <f>(27-14)/27*10+1</f>
        <v>5.814814814814815</v>
      </c>
      <c r="AD17" s="13">
        <f>(28-14)/28*10+1</f>
        <v>6</v>
      </c>
      <c r="AE17" s="13">
        <f>(29-14)/29*10+1</f>
        <v>6.172413793103448</v>
      </c>
      <c r="AF17" s="13">
        <f>(30-14)/30*10+1</f>
        <v>6.333333333333333</v>
      </c>
      <c r="AG17" s="19">
        <v>14</v>
      </c>
    </row>
    <row r="18" spans="2:33" ht="12">
      <c r="B18" s="19">
        <v>15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</v>
      </c>
      <c r="R18" s="13">
        <v>1.63</v>
      </c>
      <c r="S18" s="13">
        <v>2.18</v>
      </c>
      <c r="T18" s="13">
        <v>2.67</v>
      </c>
      <c r="U18" s="13">
        <v>3.11</v>
      </c>
      <c r="V18" s="13">
        <v>3.5</v>
      </c>
      <c r="W18" s="13">
        <f>(21-15)/21*10+1</f>
        <v>3.8571428571428568</v>
      </c>
      <c r="X18" s="13">
        <f>(22-15)/22*10+1</f>
        <v>4.181818181818182</v>
      </c>
      <c r="Y18" s="13">
        <f>(23-15)/23*10+1</f>
        <v>4.478260869565217</v>
      </c>
      <c r="Z18" s="13">
        <f>(24-15)/24*10+1</f>
        <v>4.75</v>
      </c>
      <c r="AA18" s="13">
        <v>5</v>
      </c>
      <c r="AB18" s="13">
        <f>(26-15)/26*10+1</f>
        <v>5.230769230769231</v>
      </c>
      <c r="AC18" s="13">
        <f>(27-15)/27*10+1</f>
        <v>5.444444444444445</v>
      </c>
      <c r="AD18" s="13">
        <f>(28-15)/28*10+1</f>
        <v>5.642857142857143</v>
      </c>
      <c r="AE18" s="13">
        <f>(29-15)/29*10+1</f>
        <v>5.827586206896552</v>
      </c>
      <c r="AF18" s="13">
        <f>(30-15)/30*10+1</f>
        <v>6</v>
      </c>
      <c r="AG18" s="19">
        <v>15</v>
      </c>
    </row>
    <row r="19" spans="2:33" ht="12">
      <c r="B19" s="19">
        <v>16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1</v>
      </c>
      <c r="S19" s="13">
        <v>1.59</v>
      </c>
      <c r="T19" s="13">
        <v>2.11</v>
      </c>
      <c r="U19" s="13">
        <v>2.58</v>
      </c>
      <c r="V19" s="13">
        <v>3</v>
      </c>
      <c r="W19" s="13">
        <f>(21-16)/21*10+1</f>
        <v>3.380952380952381</v>
      </c>
      <c r="X19" s="13">
        <f>(22-16)/22*10+1</f>
        <v>3.727272727272727</v>
      </c>
      <c r="Y19" s="13">
        <f>(23-16)/23*10+1</f>
        <v>4.043478260869565</v>
      </c>
      <c r="Z19" s="13">
        <f>(24-16)/24*10+1</f>
        <v>4.333333333333333</v>
      </c>
      <c r="AA19" s="13">
        <v>4.6</v>
      </c>
      <c r="AB19" s="13">
        <f>(26-16)/26*10+1</f>
        <v>4.846153846153847</v>
      </c>
      <c r="AC19" s="13">
        <f>(27-16)/27*10+1</f>
        <v>5.0740740740740735</v>
      </c>
      <c r="AD19" s="13">
        <f>(28-16)/28*10+1</f>
        <v>5.285714285714286</v>
      </c>
      <c r="AE19" s="13">
        <f>(29-16)/29*10+1</f>
        <v>5.482758620689655</v>
      </c>
      <c r="AF19" s="13">
        <f>(30-16)/30*10+1</f>
        <v>5.666666666666667</v>
      </c>
      <c r="AG19" s="19">
        <v>16</v>
      </c>
    </row>
    <row r="20" spans="2:33" ht="12">
      <c r="B20" s="19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1.56</v>
      </c>
      <c r="U20" s="13">
        <v>2.05</v>
      </c>
      <c r="V20" s="13">
        <v>2.5</v>
      </c>
      <c r="W20" s="13">
        <f>(21-17)/21*10+1</f>
        <v>2.9047619047619047</v>
      </c>
      <c r="X20" s="13">
        <f>(22-17)/22*10+1</f>
        <v>3.2727272727272725</v>
      </c>
      <c r="Y20" s="13">
        <f>(23-17)/23*10+1</f>
        <v>3.608695652173913</v>
      </c>
      <c r="Z20" s="13">
        <f>(24-17)/24*10+1</f>
        <v>3.916666666666667</v>
      </c>
      <c r="AA20" s="13">
        <v>4.2</v>
      </c>
      <c r="AB20" s="13">
        <f>(26-17)/26*10+1</f>
        <v>4.461538461538462</v>
      </c>
      <c r="AC20" s="13">
        <f>(27-17)/27*10+1</f>
        <v>4.703703703703703</v>
      </c>
      <c r="AD20" s="13">
        <f>(28-17)/28*10+1</f>
        <v>4.928571428571429</v>
      </c>
      <c r="AE20" s="13">
        <f>(29-17)/29*10+1</f>
        <v>5.137931034482759</v>
      </c>
      <c r="AF20" s="13">
        <f>(30-17)/30*10+1</f>
        <v>5.333333333333334</v>
      </c>
      <c r="AG20" s="19">
        <v>17</v>
      </c>
    </row>
    <row r="21" spans="2:33" ht="12">
      <c r="B21" s="19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</v>
      </c>
      <c r="U21" s="13">
        <v>1.53</v>
      </c>
      <c r="V21" s="13">
        <v>2</v>
      </c>
      <c r="W21" s="13">
        <f>(21-18)/21*10+1</f>
        <v>2.4285714285714284</v>
      </c>
      <c r="X21" s="13">
        <f>(22-18)/22*10+1</f>
        <v>2.8181818181818183</v>
      </c>
      <c r="Y21" s="13">
        <f>(23-18)/23*10+1</f>
        <v>3.1739130434782608</v>
      </c>
      <c r="Z21" s="13">
        <f>(24-18)/24*10+1</f>
        <v>3.5</v>
      </c>
      <c r="AA21" s="13">
        <v>3.8</v>
      </c>
      <c r="AB21" s="13">
        <f>(26-18)/26*10+1</f>
        <v>4.076923076923077</v>
      </c>
      <c r="AC21" s="13">
        <f>(27-18)/27*10+1</f>
        <v>4.333333333333333</v>
      </c>
      <c r="AD21" s="13">
        <f>(28-18)/28*10+1</f>
        <v>4.571428571428571</v>
      </c>
      <c r="AE21" s="13">
        <f>(29-18)/29*10+1</f>
        <v>4.793103448275862</v>
      </c>
      <c r="AF21" s="13">
        <f>(30-18)/30*10+1</f>
        <v>5</v>
      </c>
      <c r="AG21" s="19">
        <v>18</v>
      </c>
    </row>
    <row r="22" spans="2:33" ht="12">
      <c r="B22" s="19">
        <v>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1</v>
      </c>
      <c r="V22" s="13">
        <v>1.5</v>
      </c>
      <c r="W22" s="13">
        <f>(21-19)/21*10+1</f>
        <v>1.9523809523809523</v>
      </c>
      <c r="X22" s="13">
        <f>(22-19)/22*10+1</f>
        <v>2.3636363636363633</v>
      </c>
      <c r="Y22" s="13">
        <f>(23-19)/23*10+1</f>
        <v>2.7391304347826084</v>
      </c>
      <c r="Z22" s="13">
        <f>(24-19)/24*10+1</f>
        <v>3.0833333333333335</v>
      </c>
      <c r="AA22" s="13">
        <v>3.4</v>
      </c>
      <c r="AB22" s="13">
        <f>(26-19)/26*10+1</f>
        <v>3.692307692307692</v>
      </c>
      <c r="AC22" s="13">
        <f>(27-19)/27*10+1</f>
        <v>3.962962962962963</v>
      </c>
      <c r="AD22" s="13">
        <f>(28-19)/28*10+1</f>
        <v>4.214285714285714</v>
      </c>
      <c r="AE22" s="13">
        <f>(29-19)/29*10+1</f>
        <v>4.448275862068966</v>
      </c>
      <c r="AF22" s="13">
        <f>(30-19)/30*10+1</f>
        <v>4.666666666666666</v>
      </c>
      <c r="AG22" s="19">
        <v>19</v>
      </c>
    </row>
    <row r="23" spans="2:33" ht="12">
      <c r="B23" s="19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1</v>
      </c>
      <c r="W23" s="13">
        <f>(21-20)/21*10+1</f>
        <v>1.4761904761904763</v>
      </c>
      <c r="X23" s="13">
        <f>(22-20)/22*10+1</f>
        <v>1.9090909090909092</v>
      </c>
      <c r="Y23" s="13">
        <f>(23-20)/23*10+1</f>
        <v>2.3043478260869565</v>
      </c>
      <c r="Z23" s="13">
        <f>(24-20)/24*10+1</f>
        <v>2.6666666666666665</v>
      </c>
      <c r="AA23" s="13">
        <v>3</v>
      </c>
      <c r="AB23" s="13">
        <f>(26-20)/26*10+1</f>
        <v>3.307692307692308</v>
      </c>
      <c r="AC23" s="13">
        <f>(27-20)/27*10+1</f>
        <v>3.5925925925925926</v>
      </c>
      <c r="AD23" s="13">
        <f>(28-20)/28*10+1</f>
        <v>3.8571428571428568</v>
      </c>
      <c r="AE23" s="13">
        <f>(29-20)/29*10+1</f>
        <v>4.103448275862069</v>
      </c>
      <c r="AF23" s="13">
        <f>(30-20)/30*10+1</f>
        <v>4.333333333333333</v>
      </c>
      <c r="AG23" s="19">
        <v>20</v>
      </c>
    </row>
    <row r="24" spans="2:33" ht="12">
      <c r="B24" s="19">
        <v>21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v>1</v>
      </c>
      <c r="X24" s="13">
        <f>(22-21)/22*10+1</f>
        <v>1.4545454545454546</v>
      </c>
      <c r="Y24" s="13">
        <f>(23-21)/23*10+1</f>
        <v>1.8695652173913042</v>
      </c>
      <c r="Z24" s="13">
        <f>(24-21)/24*10+1</f>
        <v>2.25</v>
      </c>
      <c r="AA24" s="13">
        <v>2.6</v>
      </c>
      <c r="AB24" s="13">
        <f>(26-21)/26*10+1</f>
        <v>2.9230769230769234</v>
      </c>
      <c r="AC24" s="13">
        <f>(27-21)/27*10+1</f>
        <v>3.2222222222222223</v>
      </c>
      <c r="AD24" s="13">
        <f>(28-21)/28*10+1</f>
        <v>3.5</v>
      </c>
      <c r="AE24" s="13">
        <f>(29-21)/29*10+1</f>
        <v>3.7586206896551726</v>
      </c>
      <c r="AF24" s="13">
        <f>(30-21)/30*10+1</f>
        <v>4</v>
      </c>
      <c r="AG24" s="19">
        <v>21</v>
      </c>
    </row>
    <row r="25" spans="2:33" ht="12">
      <c r="B25" s="19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1</v>
      </c>
      <c r="Y25" s="13">
        <f>(23-22)/23*10+1</f>
        <v>1.434782608695652</v>
      </c>
      <c r="Z25" s="13">
        <f>(24-22)/24*10+1</f>
        <v>1.8333333333333333</v>
      </c>
      <c r="AA25" s="13">
        <v>2.2</v>
      </c>
      <c r="AB25" s="13">
        <f>(26-22)/26*10+1</f>
        <v>2.5384615384615383</v>
      </c>
      <c r="AC25" s="13">
        <f>(27-22)/27*10+1</f>
        <v>2.8518518518518516</v>
      </c>
      <c r="AD25" s="13">
        <f>(28-22)/28*10+1</f>
        <v>3.142857142857143</v>
      </c>
      <c r="AE25" s="13">
        <f>(29-22)/29*10+1</f>
        <v>3.413793103448276</v>
      </c>
      <c r="AF25" s="13">
        <f>(30-22)/30*10+1</f>
        <v>3.6666666666666665</v>
      </c>
      <c r="AG25" s="19">
        <v>22</v>
      </c>
    </row>
    <row r="26" spans="2:33" ht="12">
      <c r="B26" s="19">
        <v>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1</v>
      </c>
      <c r="Z26" s="13">
        <f>(24-23)/24*10+1</f>
        <v>1.4166666666666665</v>
      </c>
      <c r="AA26" s="13">
        <v>1.8</v>
      </c>
      <c r="AB26" s="13">
        <f>(26-23)/26*10+1</f>
        <v>2.153846153846154</v>
      </c>
      <c r="AC26" s="13">
        <f>(27-23)/27*10+1</f>
        <v>2.4814814814814814</v>
      </c>
      <c r="AD26" s="13">
        <f>(28-23)/28*10+1</f>
        <v>2.7857142857142856</v>
      </c>
      <c r="AE26" s="13">
        <f>(29-23)/29*10+1</f>
        <v>3.0689655172413794</v>
      </c>
      <c r="AF26" s="13">
        <f>(30-23)/30*10+1</f>
        <v>3.3333333333333335</v>
      </c>
      <c r="AG26" s="19">
        <v>23</v>
      </c>
    </row>
    <row r="27" spans="2:33" ht="12">
      <c r="B27" s="19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v>1</v>
      </c>
      <c r="AA27" s="13">
        <v>1.4</v>
      </c>
      <c r="AB27" s="13">
        <f>(26-24)/26*10+1</f>
        <v>1.7692307692307692</v>
      </c>
      <c r="AC27" s="13">
        <f>(27-24)/27*10+1</f>
        <v>2.111111111111111</v>
      </c>
      <c r="AD27" s="13">
        <f>(28-24)/28*10+1</f>
        <v>2.4285714285714284</v>
      </c>
      <c r="AE27" s="13">
        <f>(29-24)/29*10+1</f>
        <v>2.724137931034483</v>
      </c>
      <c r="AF27" s="13">
        <f>(30-24)/30*10+1</f>
        <v>3</v>
      </c>
      <c r="AG27" s="19">
        <v>24</v>
      </c>
    </row>
    <row r="28" spans="2:33" ht="12">
      <c r="B28" s="19">
        <v>25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>
        <f>(26-25)/26*10+1</f>
        <v>1.3846153846153846</v>
      </c>
      <c r="AC28" s="13">
        <f>(27-25)/27*10+1</f>
        <v>1.7407407407407407</v>
      </c>
      <c r="AD28" s="13">
        <f>(28-25)/28*10+1</f>
        <v>2.071428571428571</v>
      </c>
      <c r="AE28" s="13">
        <f>(29-25)/29*10+1</f>
        <v>2.3793103448275863</v>
      </c>
      <c r="AF28" s="13">
        <f>(30-25)/30*10+1</f>
        <v>2.6666666666666665</v>
      </c>
      <c r="AG28" s="19">
        <v>25</v>
      </c>
    </row>
    <row r="29" spans="2:33" ht="12">
      <c r="B29" s="19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>
        <v>1</v>
      </c>
      <c r="AC29" s="13">
        <f>(27-26)/27*10+1</f>
        <v>1.3703703703703702</v>
      </c>
      <c r="AD29" s="13">
        <f>(28-26)/28*10+1</f>
        <v>1.7142857142857142</v>
      </c>
      <c r="AE29" s="13">
        <f>(29-26)/29*10+1</f>
        <v>2.0344827586206895</v>
      </c>
      <c r="AF29" s="13">
        <f>(30-26)/30*10+1</f>
        <v>2.333333333333333</v>
      </c>
      <c r="AG29" s="19">
        <v>26</v>
      </c>
    </row>
    <row r="30" spans="2:33" ht="12">
      <c r="B30" s="19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>
        <v>1</v>
      </c>
      <c r="AD30" s="13">
        <f>(28-27)/28*10+1</f>
        <v>1.3571428571428572</v>
      </c>
      <c r="AE30" s="13">
        <f>(29-27)/29*10+1</f>
        <v>1.6896551724137931</v>
      </c>
      <c r="AF30" s="13">
        <f>(30-27)/30*10+1</f>
        <v>2</v>
      </c>
      <c r="AG30" s="19">
        <v>27</v>
      </c>
    </row>
    <row r="31" spans="2:33" ht="12">
      <c r="B31" s="19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>
        <f>(29-28)/29*10+1</f>
        <v>1.3448275862068966</v>
      </c>
      <c r="AF31" s="13">
        <f>(30-28)/30*10+1</f>
        <v>1.6666666666666665</v>
      </c>
      <c r="AG31" s="19">
        <v>28</v>
      </c>
    </row>
    <row r="32" spans="2:33" ht="12">
      <c r="B32" s="19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>
        <v>1</v>
      </c>
      <c r="AF32" s="13">
        <f>(30-29)/30*10+1</f>
        <v>1.3333333333333333</v>
      </c>
      <c r="AG32" s="19">
        <v>29</v>
      </c>
    </row>
    <row r="33" spans="2:33" ht="12">
      <c r="B33" s="19">
        <v>30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>
        <v>1</v>
      </c>
      <c r="AG33" s="19">
        <v>30</v>
      </c>
    </row>
    <row r="35" spans="2:21" ht="12">
      <c r="B35" s="110" t="s">
        <v>55</v>
      </c>
      <c r="C35" s="111"/>
      <c r="D35" s="121"/>
      <c r="E35" s="111" t="s">
        <v>56</v>
      </c>
      <c r="F35" s="121"/>
      <c r="G35" s="121"/>
      <c r="H35" s="121"/>
      <c r="I35" s="121"/>
      <c r="J35" s="121"/>
      <c r="K35" s="121"/>
      <c r="L35" s="121"/>
      <c r="M35" s="115"/>
      <c r="N35" s="115"/>
      <c r="O35" s="115"/>
      <c r="P35" s="115"/>
      <c r="Q35" s="115"/>
      <c r="R35" s="115"/>
      <c r="S35" s="115"/>
      <c r="T35" s="115"/>
      <c r="U35" s="80"/>
    </row>
    <row r="36" spans="13:17" ht="12">
      <c r="M36" s="25"/>
      <c r="Q36" s="12"/>
    </row>
    <row r="37" spans="2:22" ht="12">
      <c r="B37" s="110" t="s">
        <v>64</v>
      </c>
      <c r="C37" s="111"/>
      <c r="D37" s="111">
        <v>14</v>
      </c>
      <c r="E37" s="111" t="s">
        <v>54</v>
      </c>
      <c r="F37" s="111"/>
      <c r="G37" s="111" t="s">
        <v>111</v>
      </c>
      <c r="H37" s="111"/>
      <c r="I37" s="111"/>
      <c r="J37" s="111"/>
      <c r="K37" s="111" t="s">
        <v>116</v>
      </c>
      <c r="L37" s="111"/>
      <c r="M37" s="111"/>
      <c r="N37" s="111"/>
      <c r="O37" s="111"/>
      <c r="P37" s="111"/>
      <c r="Q37" s="120">
        <v>8.86</v>
      </c>
      <c r="R37" s="111"/>
      <c r="S37" s="111"/>
      <c r="T37" s="111"/>
      <c r="U37" s="113"/>
      <c r="V37" s="109"/>
    </row>
    <row r="38" spans="2:17" ht="12">
      <c r="B38" s="109"/>
      <c r="C38" s="109"/>
      <c r="D38" s="109"/>
      <c r="E38" s="109"/>
      <c r="F38" s="109"/>
      <c r="G38" s="109"/>
      <c r="H38" s="109"/>
      <c r="I38" s="109"/>
      <c r="M38" s="25"/>
      <c r="Q38" s="12"/>
    </row>
    <row r="39" spans="2:22" ht="12">
      <c r="B39" s="110" t="s">
        <v>55</v>
      </c>
      <c r="C39" s="114"/>
      <c r="D39" s="115"/>
      <c r="E39" s="111" t="s">
        <v>112</v>
      </c>
      <c r="F39" s="115"/>
      <c r="G39" s="111"/>
      <c r="H39" s="116" t="s">
        <v>113</v>
      </c>
      <c r="I39" s="111"/>
      <c r="J39" s="111"/>
      <c r="K39" s="117" t="s">
        <v>114</v>
      </c>
      <c r="L39" s="111"/>
      <c r="M39" s="118"/>
      <c r="N39" s="111"/>
      <c r="O39" s="111" t="s">
        <v>115</v>
      </c>
      <c r="P39" s="111"/>
      <c r="Q39" s="112">
        <v>8.86</v>
      </c>
      <c r="R39" s="111"/>
      <c r="S39" s="111"/>
      <c r="T39" s="111"/>
      <c r="U39" s="113"/>
      <c r="V39" s="109"/>
    </row>
    <row r="41" ht="12">
      <c r="B41" s="24" t="s">
        <v>58</v>
      </c>
    </row>
    <row r="42" ht="12">
      <c r="B42" s="24" t="s">
        <v>62</v>
      </c>
    </row>
    <row r="43" ht="12">
      <c r="B43" s="24" t="s">
        <v>63</v>
      </c>
    </row>
    <row r="45" ht="12">
      <c r="B45" t="s">
        <v>35</v>
      </c>
    </row>
  </sheetData>
  <sheetProtection/>
  <mergeCells count="1">
    <mergeCell ref="A1:AF1"/>
  </mergeCells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tabSelected="1" zoomScale="150" zoomScaleNormal="150" zoomScalePageLayoutView="0" workbookViewId="0" topLeftCell="A3">
      <selection activeCell="B10" sqref="B10"/>
    </sheetView>
  </sheetViews>
  <sheetFormatPr defaultColWidth="11.421875" defaultRowHeight="12.75"/>
  <cols>
    <col min="1" max="1" width="1.8515625" style="0" customWidth="1"/>
    <col min="2" max="2" width="5.421875" style="0" customWidth="1"/>
    <col min="3" max="3" width="7.8515625" style="0" customWidth="1"/>
    <col min="4" max="4" width="22.421875" style="0" customWidth="1"/>
    <col min="5" max="5" width="6.7109375" style="0" customWidth="1"/>
    <col min="6" max="6" width="15.140625" style="0" customWidth="1"/>
    <col min="7" max="7" width="12.7109375" style="0" customWidth="1"/>
    <col min="8" max="9" width="16.7109375" style="0" customWidth="1"/>
    <col min="10" max="10" width="14.421875" style="0" customWidth="1"/>
    <col min="11" max="11" width="12.8515625" style="0" customWidth="1"/>
    <col min="12" max="12" width="0" style="0" hidden="1" customWidth="1"/>
    <col min="13" max="13" width="9.8515625" style="0" hidden="1" customWidth="1"/>
    <col min="14" max="14" width="2.7109375" style="0" customWidth="1"/>
    <col min="15" max="16" width="0" style="0" hidden="1" customWidth="1"/>
  </cols>
  <sheetData>
    <row r="1" ht="12.75" thickBot="1"/>
    <row r="2" spans="2:13" ht="15.75" thickBot="1">
      <c r="B2" s="201" t="s">
        <v>34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64"/>
    </row>
    <row r="3" spans="2:12" ht="12.75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3" ht="15">
      <c r="B4" s="204" t="s">
        <v>40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63"/>
    </row>
    <row r="5" spans="2:12" ht="12">
      <c r="B5" s="68"/>
      <c r="C5" s="71">
        <v>3</v>
      </c>
      <c r="D5" s="37"/>
      <c r="E5" s="37"/>
      <c r="F5" s="37"/>
      <c r="G5" s="37"/>
      <c r="H5" s="37"/>
      <c r="I5" s="37"/>
      <c r="J5" s="37"/>
      <c r="K5" s="37"/>
      <c r="L5" s="38"/>
    </row>
    <row r="6" spans="2:12" ht="12">
      <c r="B6" s="68"/>
      <c r="C6" s="65" t="s">
        <v>72</v>
      </c>
      <c r="D6" s="37"/>
      <c r="E6" s="52" t="s">
        <v>2</v>
      </c>
      <c r="F6" s="99">
        <v>41915</v>
      </c>
      <c r="G6" s="168">
        <v>42120</v>
      </c>
      <c r="H6" s="99">
        <v>42141</v>
      </c>
      <c r="I6" s="99">
        <v>42162</v>
      </c>
      <c r="J6" s="99">
        <v>42204</v>
      </c>
      <c r="K6" s="99"/>
      <c r="L6" s="100"/>
    </row>
    <row r="7" spans="2:15" ht="12">
      <c r="B7" s="69" t="s">
        <v>52</v>
      </c>
      <c r="C7" s="66" t="s">
        <v>65</v>
      </c>
      <c r="D7" s="61" t="s">
        <v>33</v>
      </c>
      <c r="E7" s="61"/>
      <c r="F7" s="61" t="s">
        <v>41</v>
      </c>
      <c r="G7" s="169" t="s">
        <v>31</v>
      </c>
      <c r="H7" s="61" t="s">
        <v>100</v>
      </c>
      <c r="I7" s="61" t="s">
        <v>101</v>
      </c>
      <c r="J7" s="91" t="s">
        <v>32</v>
      </c>
      <c r="K7" s="61"/>
      <c r="L7" s="62" t="s">
        <v>109</v>
      </c>
      <c r="M7" s="53"/>
      <c r="N7" s="73"/>
      <c r="O7" s="22">
        <v>15</v>
      </c>
    </row>
    <row r="8" spans="2:16" s="185" customFormat="1" ht="12">
      <c r="B8" s="70">
        <v>1</v>
      </c>
      <c r="C8" s="186">
        <v>27.25</v>
      </c>
      <c r="D8" s="187" t="s">
        <v>142</v>
      </c>
      <c r="E8" s="188">
        <v>4</v>
      </c>
      <c r="F8" s="199">
        <v>8.5</v>
      </c>
      <c r="G8" s="189">
        <v>9</v>
      </c>
      <c r="H8" s="190">
        <v>7.67</v>
      </c>
      <c r="I8" s="211"/>
      <c r="J8" s="190">
        <v>9.75</v>
      </c>
      <c r="K8" s="190"/>
      <c r="L8" s="181"/>
      <c r="M8" s="182">
        <v>9.33</v>
      </c>
      <c r="N8" s="183"/>
      <c r="O8" s="184">
        <v>10.33</v>
      </c>
      <c r="P8" s="185" t="s">
        <v>137</v>
      </c>
    </row>
    <row r="9" spans="2:16" s="185" customFormat="1" ht="12">
      <c r="B9" s="72">
        <v>2</v>
      </c>
      <c r="C9" s="134">
        <v>19</v>
      </c>
      <c r="D9" s="153" t="s">
        <v>143</v>
      </c>
      <c r="E9" s="135">
        <v>4</v>
      </c>
      <c r="F9" s="191">
        <v>6</v>
      </c>
      <c r="G9" s="193">
        <v>7</v>
      </c>
      <c r="H9" s="106">
        <v>6</v>
      </c>
      <c r="I9" s="176"/>
      <c r="J9" s="106">
        <v>6</v>
      </c>
      <c r="K9" s="106"/>
      <c r="L9" s="181"/>
      <c r="M9" s="182">
        <v>7.67</v>
      </c>
      <c r="N9" s="183"/>
      <c r="O9" s="184">
        <v>9.67</v>
      </c>
      <c r="P9" s="185" t="s">
        <v>138</v>
      </c>
    </row>
    <row r="10" spans="2:16" s="185" customFormat="1" ht="12">
      <c r="B10" s="70">
        <v>3</v>
      </c>
      <c r="C10" s="177">
        <f>SUMIF(F10:K10,"&gt;0",F10:K10)</f>
        <v>18.67</v>
      </c>
      <c r="D10" s="178" t="s">
        <v>59</v>
      </c>
      <c r="E10" s="179">
        <v>3</v>
      </c>
      <c r="F10" s="176"/>
      <c r="G10" s="180">
        <v>5</v>
      </c>
      <c r="H10" s="176">
        <v>5.17</v>
      </c>
      <c r="I10" s="176"/>
      <c r="J10" s="176">
        <v>8.5</v>
      </c>
      <c r="K10" s="176"/>
      <c r="L10" s="181"/>
      <c r="M10" s="182"/>
      <c r="N10" s="183"/>
      <c r="O10" s="184">
        <v>7.67</v>
      </c>
      <c r="P10" s="185" t="s">
        <v>128</v>
      </c>
    </row>
    <row r="11" spans="2:16" ht="12">
      <c r="B11" s="70">
        <v>4</v>
      </c>
      <c r="C11" s="67">
        <f>SUMIF(F11:K11,"&gt;0",F11:K11)</f>
        <v>14.58</v>
      </c>
      <c r="D11" s="15" t="s">
        <v>60</v>
      </c>
      <c r="E11" s="45">
        <v>3</v>
      </c>
      <c r="F11" s="174"/>
      <c r="G11" s="171">
        <v>3</v>
      </c>
      <c r="H11" s="174">
        <v>4.33</v>
      </c>
      <c r="I11" s="174"/>
      <c r="J11" s="174">
        <v>7.25</v>
      </c>
      <c r="K11" s="101"/>
      <c r="L11" s="165"/>
      <c r="M11" s="164"/>
      <c r="N11" s="75"/>
      <c r="O11" s="13">
        <v>7</v>
      </c>
      <c r="P11" t="s">
        <v>131</v>
      </c>
    </row>
    <row r="12" spans="2:16" ht="12">
      <c r="B12" s="70">
        <v>5</v>
      </c>
      <c r="C12" s="67">
        <f>SUMIF(F12:K12,"&gt;0",F12:K12)</f>
        <v>14.08</v>
      </c>
      <c r="D12" s="50" t="s">
        <v>102</v>
      </c>
      <c r="E12" s="45">
        <v>2</v>
      </c>
      <c r="F12" s="16"/>
      <c r="G12" s="170"/>
      <c r="H12" s="16">
        <v>9.33</v>
      </c>
      <c r="I12" s="16"/>
      <c r="J12" s="16">
        <v>4.75</v>
      </c>
      <c r="K12" s="16"/>
      <c r="L12" s="165"/>
      <c r="M12" s="164"/>
      <c r="N12" s="75"/>
      <c r="O12" s="13">
        <v>5</v>
      </c>
      <c r="P12" t="s">
        <v>127</v>
      </c>
    </row>
    <row r="13" spans="2:16" ht="12">
      <c r="B13" s="70">
        <v>6</v>
      </c>
      <c r="C13" s="67">
        <f>SUMIF(F13:K13,"&gt;0",F13:K13)</f>
        <v>11.17</v>
      </c>
      <c r="D13" s="15" t="s">
        <v>145</v>
      </c>
      <c r="E13" s="45">
        <v>2</v>
      </c>
      <c r="F13" s="174">
        <v>1</v>
      </c>
      <c r="G13" s="170"/>
      <c r="H13" s="174">
        <v>10.17</v>
      </c>
      <c r="I13" s="174"/>
      <c r="J13" s="174"/>
      <c r="K13" s="174"/>
      <c r="L13" s="165"/>
      <c r="M13" s="164">
        <v>4.33</v>
      </c>
      <c r="N13" s="75"/>
      <c r="O13" s="13">
        <v>8.33</v>
      </c>
      <c r="P13" t="s">
        <v>37</v>
      </c>
    </row>
    <row r="14" spans="2:16" s="185" customFormat="1" ht="12">
      <c r="B14" s="70">
        <v>7</v>
      </c>
      <c r="C14" s="177">
        <f>SUMIF(F14:K14,"&gt;0",F14:K14)</f>
        <v>10.33</v>
      </c>
      <c r="D14" s="178" t="s">
        <v>144</v>
      </c>
      <c r="E14" s="179">
        <v>2</v>
      </c>
      <c r="F14" s="176">
        <v>3.5</v>
      </c>
      <c r="G14" s="180"/>
      <c r="H14" s="176">
        <v>6.83</v>
      </c>
      <c r="I14" s="176"/>
      <c r="J14" s="176"/>
      <c r="K14" s="176"/>
      <c r="L14" s="181"/>
      <c r="M14" s="182">
        <v>6</v>
      </c>
      <c r="N14" s="183"/>
      <c r="O14" s="184">
        <v>9</v>
      </c>
      <c r="P14" s="185" t="s">
        <v>36</v>
      </c>
    </row>
    <row r="15" spans="2:16" ht="12">
      <c r="B15" s="70">
        <v>8</v>
      </c>
      <c r="C15" s="67">
        <f>SUMIF(F15:K15,"&gt;0",F15:K15)</f>
        <v>8.5</v>
      </c>
      <c r="D15" s="2" t="s">
        <v>103</v>
      </c>
      <c r="E15" s="45">
        <v>1</v>
      </c>
      <c r="F15" s="16"/>
      <c r="G15" s="171"/>
      <c r="H15" s="16">
        <v>8.5</v>
      </c>
      <c r="I15" s="16"/>
      <c r="J15" s="16"/>
      <c r="K15" s="16"/>
      <c r="L15" s="166"/>
      <c r="M15" s="78"/>
      <c r="N15" s="75"/>
      <c r="O15" s="13">
        <v>4.33</v>
      </c>
      <c r="P15" t="s">
        <v>125</v>
      </c>
    </row>
    <row r="16" spans="2:16" ht="12">
      <c r="B16" s="70">
        <v>9</v>
      </c>
      <c r="C16" s="67">
        <v>8</v>
      </c>
      <c r="D16" s="15" t="s">
        <v>61</v>
      </c>
      <c r="E16" s="45">
        <v>4</v>
      </c>
      <c r="F16" s="16"/>
      <c r="G16" s="192">
        <v>1</v>
      </c>
      <c r="H16" s="16">
        <v>1</v>
      </c>
      <c r="I16" s="16">
        <v>6</v>
      </c>
      <c r="J16" s="16">
        <v>1</v>
      </c>
      <c r="K16" s="16"/>
      <c r="L16" s="165"/>
      <c r="M16" s="164"/>
      <c r="N16" s="75"/>
      <c r="O16" s="13">
        <v>6.33</v>
      </c>
      <c r="P16" t="s">
        <v>110</v>
      </c>
    </row>
    <row r="17" spans="2:16" ht="12">
      <c r="B17" s="70">
        <v>10</v>
      </c>
      <c r="C17" s="67">
        <f aca="true" t="shared" si="0" ref="C17:C28">SUMIF(F17:K17,"&gt;0",F17:K17)</f>
        <v>3.5</v>
      </c>
      <c r="D17" s="15" t="s">
        <v>104</v>
      </c>
      <c r="E17" s="45">
        <v>1</v>
      </c>
      <c r="F17" s="16"/>
      <c r="G17" s="170"/>
      <c r="H17" s="16">
        <v>3.5</v>
      </c>
      <c r="I17" s="16"/>
      <c r="J17" s="16"/>
      <c r="K17" s="16"/>
      <c r="L17" s="166"/>
      <c r="M17" s="78"/>
      <c r="N17" s="75"/>
      <c r="O17" s="13">
        <v>3</v>
      </c>
      <c r="P17" t="s">
        <v>126</v>
      </c>
    </row>
    <row r="18" spans="2:15" ht="12">
      <c r="B18" s="212">
        <v>10</v>
      </c>
      <c r="C18" s="67">
        <f>SUMIF(F18:K18,"&gt;0",F18:K18)</f>
        <v>3.5</v>
      </c>
      <c r="D18" s="2" t="s">
        <v>10</v>
      </c>
      <c r="E18" s="45">
        <v>1</v>
      </c>
      <c r="F18" s="16"/>
      <c r="G18" s="171"/>
      <c r="H18" s="16"/>
      <c r="I18" s="16"/>
      <c r="J18" s="16">
        <v>3.5</v>
      </c>
      <c r="K18" s="16"/>
      <c r="L18" s="166"/>
      <c r="M18" s="78"/>
      <c r="N18" s="75"/>
      <c r="O18" s="13"/>
    </row>
    <row r="19" spans="2:16" ht="12">
      <c r="B19" s="70">
        <v>12</v>
      </c>
      <c r="C19" s="67">
        <f t="shared" si="0"/>
        <v>2.67</v>
      </c>
      <c r="D19" s="15" t="s">
        <v>105</v>
      </c>
      <c r="E19" s="45">
        <v>1</v>
      </c>
      <c r="F19" s="16"/>
      <c r="G19" s="171"/>
      <c r="H19" s="16">
        <v>2.67</v>
      </c>
      <c r="I19" s="16"/>
      <c r="J19" s="16"/>
      <c r="K19" s="16"/>
      <c r="L19" s="166"/>
      <c r="M19" s="78"/>
      <c r="N19" s="75"/>
      <c r="O19" s="13">
        <v>2.33</v>
      </c>
      <c r="P19" t="s">
        <v>129</v>
      </c>
    </row>
    <row r="20" spans="2:16" ht="12">
      <c r="B20" s="70">
        <v>13</v>
      </c>
      <c r="C20" s="67">
        <f>SUMIF(F20:K20,"&gt;0",F20:K20)</f>
        <v>2.25</v>
      </c>
      <c r="D20" s="15" t="s">
        <v>11</v>
      </c>
      <c r="E20" s="45">
        <v>0</v>
      </c>
      <c r="F20" s="16"/>
      <c r="G20" s="170"/>
      <c r="H20" s="16"/>
      <c r="I20" s="101"/>
      <c r="J20" s="16">
        <v>2.25</v>
      </c>
      <c r="K20" s="16"/>
      <c r="L20" s="166"/>
      <c r="M20" s="79"/>
      <c r="N20" s="75"/>
      <c r="O20" s="13">
        <v>1</v>
      </c>
      <c r="P20" t="s">
        <v>136</v>
      </c>
    </row>
    <row r="21" spans="2:16" ht="12">
      <c r="B21" s="70">
        <v>14</v>
      </c>
      <c r="C21" s="67">
        <f t="shared" si="0"/>
        <v>1.83</v>
      </c>
      <c r="D21" s="15" t="s">
        <v>106</v>
      </c>
      <c r="E21" s="45">
        <v>1</v>
      </c>
      <c r="F21" s="16"/>
      <c r="G21" s="171"/>
      <c r="H21" s="16">
        <v>1.83</v>
      </c>
      <c r="I21" s="101"/>
      <c r="J21" s="16"/>
      <c r="K21" s="101"/>
      <c r="L21" s="166"/>
      <c r="M21" s="78"/>
      <c r="N21" s="75"/>
      <c r="O21" s="13">
        <v>1.67</v>
      </c>
      <c r="P21" t="s">
        <v>130</v>
      </c>
    </row>
    <row r="22" spans="2:15" ht="12">
      <c r="B22" s="70">
        <v>15</v>
      </c>
      <c r="C22" s="67">
        <f t="shared" si="0"/>
        <v>1</v>
      </c>
      <c r="D22" s="15" t="s">
        <v>107</v>
      </c>
      <c r="E22" s="45">
        <v>1</v>
      </c>
      <c r="F22" s="16"/>
      <c r="G22" s="170"/>
      <c r="H22" s="16"/>
      <c r="I22" s="16">
        <v>1</v>
      </c>
      <c r="J22" s="16"/>
      <c r="K22" s="16"/>
      <c r="L22" s="166"/>
      <c r="M22" s="78"/>
      <c r="N22" s="75"/>
      <c r="O22" s="13"/>
    </row>
    <row r="23" spans="2:14" ht="12">
      <c r="B23" s="70">
        <v>17</v>
      </c>
      <c r="C23" s="67">
        <f t="shared" si="0"/>
        <v>0</v>
      </c>
      <c r="D23" s="2"/>
      <c r="E23" s="1">
        <v>0</v>
      </c>
      <c r="F23" s="16"/>
      <c r="G23" s="172"/>
      <c r="H23" s="16"/>
      <c r="I23" s="16"/>
      <c r="J23" s="16"/>
      <c r="K23" s="16"/>
      <c r="L23" s="166"/>
      <c r="M23" s="80"/>
      <c r="N23" s="74"/>
    </row>
    <row r="24" spans="2:14" ht="12">
      <c r="B24" s="70">
        <v>18</v>
      </c>
      <c r="C24" s="67">
        <f t="shared" si="0"/>
        <v>0</v>
      </c>
      <c r="D24" s="15"/>
      <c r="E24" s="45">
        <v>0</v>
      </c>
      <c r="F24" s="16"/>
      <c r="G24" s="171"/>
      <c r="H24" s="101"/>
      <c r="I24" s="101"/>
      <c r="J24" s="16"/>
      <c r="K24" s="101"/>
      <c r="L24" s="166"/>
      <c r="M24" s="80"/>
      <c r="N24" s="18"/>
    </row>
    <row r="25" spans="2:14" ht="12">
      <c r="B25" s="70">
        <v>19</v>
      </c>
      <c r="C25" s="67">
        <f t="shared" si="0"/>
        <v>0</v>
      </c>
      <c r="D25" s="15"/>
      <c r="E25" s="45">
        <v>0</v>
      </c>
      <c r="F25" s="16"/>
      <c r="G25" s="171"/>
      <c r="H25" s="101"/>
      <c r="I25" s="101"/>
      <c r="J25" s="16"/>
      <c r="K25" s="101"/>
      <c r="L25" s="166"/>
      <c r="M25" s="80"/>
      <c r="N25" s="18"/>
    </row>
    <row r="26" spans="2:14" ht="12">
      <c r="B26" s="70">
        <v>20</v>
      </c>
      <c r="C26" s="67">
        <f t="shared" si="0"/>
        <v>0</v>
      </c>
      <c r="D26" s="15"/>
      <c r="E26" s="45">
        <v>0</v>
      </c>
      <c r="F26" s="16"/>
      <c r="G26" s="173"/>
      <c r="H26" s="101"/>
      <c r="I26" s="16"/>
      <c r="J26" s="16"/>
      <c r="K26" s="101"/>
      <c r="L26" s="166"/>
      <c r="M26" s="80"/>
      <c r="N26" s="18"/>
    </row>
    <row r="27" spans="2:14" ht="12">
      <c r="B27" s="70">
        <v>21</v>
      </c>
      <c r="C27" s="67">
        <f t="shared" si="0"/>
        <v>0</v>
      </c>
      <c r="D27" s="15"/>
      <c r="E27" s="45">
        <v>0</v>
      </c>
      <c r="F27" s="16"/>
      <c r="G27" s="173"/>
      <c r="H27" s="101"/>
      <c r="I27" s="16"/>
      <c r="J27" s="16"/>
      <c r="K27" s="101"/>
      <c r="L27" s="166"/>
      <c r="M27" s="80"/>
      <c r="N27" s="18"/>
    </row>
    <row r="28" spans="2:14" ht="12">
      <c r="B28" s="70">
        <v>22</v>
      </c>
      <c r="C28" s="67">
        <f t="shared" si="0"/>
        <v>0</v>
      </c>
      <c r="D28" s="15"/>
      <c r="E28" s="45">
        <v>0</v>
      </c>
      <c r="F28" s="16"/>
      <c r="G28" s="173"/>
      <c r="H28" s="45"/>
      <c r="I28" s="16"/>
      <c r="J28" s="16"/>
      <c r="K28" s="101"/>
      <c r="L28" s="166"/>
      <c r="M28" s="80"/>
      <c r="N28" s="18"/>
    </row>
    <row r="29" spans="2:12" ht="13.5" thickBot="1">
      <c r="B29" s="97"/>
      <c r="C29" s="60"/>
      <c r="D29" s="60" t="s">
        <v>73</v>
      </c>
      <c r="E29" s="148"/>
      <c r="F29" s="149">
        <v>4</v>
      </c>
      <c r="G29" s="175">
        <v>5</v>
      </c>
      <c r="H29" s="149">
        <v>12</v>
      </c>
      <c r="I29" s="149">
        <v>2</v>
      </c>
      <c r="J29" s="149">
        <v>8</v>
      </c>
      <c r="K29" s="149"/>
      <c r="L29" s="167"/>
    </row>
    <row r="30" spans="2:3" ht="12">
      <c r="B30" s="39"/>
      <c r="C30" s="39"/>
    </row>
    <row r="32" spans="2:7" ht="12" hidden="1">
      <c r="B32" t="s">
        <v>124</v>
      </c>
      <c r="D32" s="44"/>
      <c r="E32" s="44"/>
      <c r="F32" s="44"/>
      <c r="G32" s="44"/>
    </row>
    <row r="33" ht="12">
      <c r="G33" s="12"/>
    </row>
  </sheetData>
  <sheetProtection/>
  <mergeCells count="2">
    <mergeCell ref="B2:L2"/>
    <mergeCell ref="B4:L4"/>
  </mergeCells>
  <printOptions horizontalCentered="1" verticalCentered="1"/>
  <pageMargins left="0" right="0" top="0.1968503937007874" bottom="0.1968503937007874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zoomScalePageLayoutView="0" workbookViewId="0" topLeftCell="A1">
      <selection activeCell="H17" sqref="H17"/>
    </sheetView>
  </sheetViews>
  <sheetFormatPr defaultColWidth="11.421875" defaultRowHeight="12.75"/>
  <cols>
    <col min="1" max="1" width="2.7109375" style="0" customWidth="1"/>
    <col min="2" max="2" width="8.421875" style="0" bestFit="1" customWidth="1"/>
    <col min="3" max="3" width="22.7109375" style="0" customWidth="1"/>
    <col min="4" max="4" width="14.421875" style="0" bestFit="1" customWidth="1"/>
    <col min="5" max="5" width="15.00390625" style="0" bestFit="1" customWidth="1"/>
    <col min="6" max="6" width="13.7109375" style="0" bestFit="1" customWidth="1"/>
    <col min="7" max="7" width="14.28125" style="0" bestFit="1" customWidth="1"/>
    <col min="8" max="8" width="13.7109375" style="0" bestFit="1" customWidth="1"/>
    <col min="9" max="9" width="14.28125" style="0" bestFit="1" customWidth="1"/>
    <col min="12" max="12" width="5.7109375" style="0" customWidth="1"/>
  </cols>
  <sheetData>
    <row r="1" ht="12.75" thickBot="1"/>
    <row r="2" spans="2:11" ht="15.75" thickBot="1">
      <c r="B2" s="201" t="s">
        <v>42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 thickBot="1">
      <c r="B4" s="201" t="s">
        <v>43</v>
      </c>
      <c r="C4" s="202"/>
      <c r="D4" s="202"/>
      <c r="E4" s="202"/>
      <c r="F4" s="202"/>
      <c r="G4" s="202"/>
      <c r="H4" s="202"/>
      <c r="I4" s="202"/>
      <c r="J4" s="202"/>
      <c r="K4" s="203"/>
    </row>
    <row r="5" spans="2:11" ht="15.7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thickBot="1">
      <c r="B6" s="3"/>
      <c r="C6" s="3"/>
      <c r="D6" s="201" t="s">
        <v>53</v>
      </c>
      <c r="E6" s="202"/>
      <c r="F6" s="202"/>
      <c r="G6" s="202"/>
      <c r="H6" s="202"/>
      <c r="I6" s="203"/>
      <c r="J6" s="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4:9" ht="12.75" thickBot="1">
      <c r="D8" s="198" t="s">
        <v>92</v>
      </c>
      <c r="E8" s="198" t="s">
        <v>93</v>
      </c>
      <c r="F8" s="198" t="s">
        <v>92</v>
      </c>
      <c r="G8" s="198" t="s">
        <v>93</v>
      </c>
      <c r="H8" s="198" t="s">
        <v>92</v>
      </c>
      <c r="I8" s="198" t="s">
        <v>77</v>
      </c>
    </row>
    <row r="9" spans="2:11" ht="12">
      <c r="B9" s="4" t="s">
        <v>49</v>
      </c>
      <c r="C9" s="5" t="s">
        <v>50</v>
      </c>
      <c r="D9" s="5" t="s">
        <v>76</v>
      </c>
      <c r="E9" s="5" t="s">
        <v>146</v>
      </c>
      <c r="F9" s="5" t="s">
        <v>78</v>
      </c>
      <c r="G9" s="5" t="s">
        <v>79</v>
      </c>
      <c r="H9" s="5" t="s">
        <v>80</v>
      </c>
      <c r="I9" s="5" t="s">
        <v>81</v>
      </c>
      <c r="J9" s="5" t="s">
        <v>51</v>
      </c>
      <c r="K9" s="6" t="s">
        <v>52</v>
      </c>
    </row>
    <row r="10" spans="2:11" ht="12">
      <c r="B10" s="14">
        <v>53</v>
      </c>
      <c r="C10" s="15" t="s">
        <v>142</v>
      </c>
      <c r="D10" s="107">
        <v>35.814</v>
      </c>
      <c r="E10" s="16"/>
      <c r="F10" s="107">
        <v>35.39</v>
      </c>
      <c r="G10" s="16">
        <v>35.57</v>
      </c>
      <c r="H10" s="176">
        <v>35.305</v>
      </c>
      <c r="I10" s="106">
        <v>35.074</v>
      </c>
      <c r="J10" s="16">
        <f aca="true" t="shared" si="0" ref="J10:J18">SUM(F10:I10)</f>
        <v>141.339</v>
      </c>
      <c r="K10" s="43">
        <v>1</v>
      </c>
    </row>
    <row r="11" spans="2:11" ht="12">
      <c r="B11" s="14">
        <v>52</v>
      </c>
      <c r="C11" s="15" t="s">
        <v>143</v>
      </c>
      <c r="D11" s="16"/>
      <c r="E11" s="106">
        <v>36.162</v>
      </c>
      <c r="F11" s="16">
        <v>35.625</v>
      </c>
      <c r="G11" s="106">
        <v>35.303</v>
      </c>
      <c r="H11" s="107">
        <v>35.243</v>
      </c>
      <c r="I11" s="16">
        <v>35.228</v>
      </c>
      <c r="J11" s="16">
        <f t="shared" si="0"/>
        <v>141.399</v>
      </c>
      <c r="K11" s="43">
        <v>2</v>
      </c>
    </row>
    <row r="12" spans="2:11" ht="12">
      <c r="B12" s="14">
        <v>51</v>
      </c>
      <c r="C12" s="15" t="s">
        <v>144</v>
      </c>
      <c r="D12" s="16">
        <v>36.07</v>
      </c>
      <c r="E12" s="16"/>
      <c r="F12" s="16">
        <v>35.424</v>
      </c>
      <c r="G12" s="176">
        <v>35.618</v>
      </c>
      <c r="H12" s="16">
        <v>35.659</v>
      </c>
      <c r="I12" s="176">
        <v>35.299</v>
      </c>
      <c r="J12" s="16">
        <f t="shared" si="0"/>
        <v>142</v>
      </c>
      <c r="K12" s="43">
        <v>3</v>
      </c>
    </row>
    <row r="13" spans="2:11" ht="12">
      <c r="B13" s="14">
        <v>54</v>
      </c>
      <c r="C13" s="15" t="s">
        <v>145</v>
      </c>
      <c r="D13" s="16"/>
      <c r="E13" s="16">
        <v>35.984</v>
      </c>
      <c r="F13" s="16">
        <v>35.941</v>
      </c>
      <c r="G13" s="16">
        <v>35.611</v>
      </c>
      <c r="H13" s="16">
        <v>35.591</v>
      </c>
      <c r="I13" s="16">
        <v>35.405</v>
      </c>
      <c r="J13" s="16">
        <f t="shared" si="0"/>
        <v>142.548</v>
      </c>
      <c r="K13" s="43">
        <v>4</v>
      </c>
    </row>
    <row r="14" spans="2:11" ht="12">
      <c r="B14" s="14"/>
      <c r="C14" s="15"/>
      <c r="D14" s="16"/>
      <c r="E14" s="16"/>
      <c r="F14" s="176"/>
      <c r="G14" s="16"/>
      <c r="H14" s="16"/>
      <c r="I14" s="16"/>
      <c r="J14" s="16">
        <f t="shared" si="0"/>
        <v>0</v>
      </c>
      <c r="K14" s="43">
        <v>5</v>
      </c>
    </row>
    <row r="15" spans="2:11" ht="12">
      <c r="B15" s="14"/>
      <c r="C15" s="15"/>
      <c r="D15" s="16"/>
      <c r="E15" s="16"/>
      <c r="F15" s="16"/>
      <c r="G15" s="16"/>
      <c r="H15" s="16"/>
      <c r="I15" s="16"/>
      <c r="J15" s="16">
        <f t="shared" si="0"/>
        <v>0</v>
      </c>
      <c r="K15" s="43">
        <v>6</v>
      </c>
    </row>
    <row r="16" spans="2:11" ht="12">
      <c r="B16" s="14"/>
      <c r="C16" s="15"/>
      <c r="D16" s="16"/>
      <c r="E16" s="16"/>
      <c r="F16" s="16"/>
      <c r="G16" s="16"/>
      <c r="H16" s="16"/>
      <c r="I16" s="16"/>
      <c r="J16" s="16">
        <f t="shared" si="0"/>
        <v>0</v>
      </c>
      <c r="K16" s="43">
        <v>7</v>
      </c>
    </row>
    <row r="17" spans="2:11" ht="12">
      <c r="B17" s="49"/>
      <c r="C17" s="50"/>
      <c r="D17" s="16"/>
      <c r="E17" s="16"/>
      <c r="F17" s="16"/>
      <c r="G17" s="16"/>
      <c r="H17" s="16"/>
      <c r="I17" s="16"/>
      <c r="J17" s="16">
        <f t="shared" si="0"/>
        <v>0</v>
      </c>
      <c r="K17" s="43">
        <v>8</v>
      </c>
    </row>
    <row r="18" spans="2:11" ht="12">
      <c r="B18" s="49"/>
      <c r="C18" s="50"/>
      <c r="D18" s="16"/>
      <c r="E18" s="16"/>
      <c r="F18" s="16"/>
      <c r="G18" s="16"/>
      <c r="H18" s="16"/>
      <c r="I18" s="16"/>
      <c r="J18" s="16">
        <f t="shared" si="0"/>
        <v>0</v>
      </c>
      <c r="K18" s="43">
        <v>9</v>
      </c>
    </row>
    <row r="19" spans="2:11" ht="12">
      <c r="B19" s="49"/>
      <c r="C19" s="50"/>
      <c r="D19" s="16"/>
      <c r="E19" s="16"/>
      <c r="F19" s="16"/>
      <c r="G19" s="16"/>
      <c r="H19" s="16"/>
      <c r="I19" s="16"/>
      <c r="J19" s="16"/>
      <c r="K19" s="43">
        <v>10</v>
      </c>
    </row>
    <row r="20" spans="2:11" ht="12">
      <c r="B20" s="49"/>
      <c r="C20" s="50"/>
      <c r="D20" s="92"/>
      <c r="E20" s="92"/>
      <c r="F20" s="16"/>
      <c r="G20" s="16"/>
      <c r="H20" s="16"/>
      <c r="I20" s="16"/>
      <c r="J20" s="16"/>
      <c r="K20" s="43">
        <v>11</v>
      </c>
    </row>
    <row r="21" spans="2:11" ht="12.75" thickBot="1">
      <c r="B21" s="54"/>
      <c r="C21" s="55"/>
      <c r="D21" s="17"/>
      <c r="E21" s="17"/>
      <c r="F21" s="17"/>
      <c r="G21" s="17"/>
      <c r="H21" s="17"/>
      <c r="I21" s="17"/>
      <c r="J21" s="17"/>
      <c r="K21" s="56"/>
    </row>
    <row r="22" spans="2:11" ht="12.75" thickBot="1">
      <c r="B22" s="207" t="s">
        <v>1</v>
      </c>
      <c r="C22" s="208"/>
      <c r="D22" s="81">
        <f aca="true" t="shared" si="1" ref="D22:I22">MIN(D10:D21)</f>
        <v>35.814</v>
      </c>
      <c r="E22" s="81">
        <f t="shared" si="1"/>
        <v>35.984</v>
      </c>
      <c r="F22" s="81">
        <f t="shared" si="1"/>
        <v>35.39</v>
      </c>
      <c r="G22" s="81">
        <f t="shared" si="1"/>
        <v>35.303</v>
      </c>
      <c r="H22" s="81">
        <f t="shared" si="1"/>
        <v>35.243</v>
      </c>
      <c r="I22" s="81">
        <f t="shared" si="1"/>
        <v>35.074</v>
      </c>
      <c r="J22" s="83"/>
      <c r="K22" s="82"/>
    </row>
    <row r="24" spans="2:11" ht="12">
      <c r="B24" s="26"/>
      <c r="C24" s="27" t="s">
        <v>66</v>
      </c>
      <c r="D24" s="27">
        <v>270</v>
      </c>
      <c r="E24" s="27" t="s">
        <v>74</v>
      </c>
      <c r="F24" s="28" t="s">
        <v>67</v>
      </c>
      <c r="H24" s="122" t="s">
        <v>117</v>
      </c>
      <c r="I24" s="27" t="s">
        <v>118</v>
      </c>
      <c r="J24" s="123">
        <v>268</v>
      </c>
      <c r="K24" s="76"/>
    </row>
    <row r="25" spans="2:10" ht="12">
      <c r="B25" s="29"/>
      <c r="C25" s="30"/>
      <c r="D25" s="30"/>
      <c r="E25" s="30"/>
      <c r="F25" s="31"/>
      <c r="H25" s="124"/>
      <c r="I25" s="18"/>
      <c r="J25" s="125"/>
    </row>
    <row r="26" spans="2:10" ht="12">
      <c r="B26" s="29"/>
      <c r="C26" s="46" t="s">
        <v>148</v>
      </c>
      <c r="D26" s="57">
        <f>I12</f>
        <v>35.299</v>
      </c>
      <c r="E26" s="30"/>
      <c r="F26" s="31" t="s">
        <v>68</v>
      </c>
      <c r="H26" s="29" t="s">
        <v>119</v>
      </c>
      <c r="I26" s="30" t="s">
        <v>118</v>
      </c>
      <c r="J26" s="31">
        <v>258</v>
      </c>
    </row>
    <row r="27" spans="2:10" ht="12">
      <c r="B27" s="29"/>
      <c r="C27" s="30"/>
      <c r="D27" s="30"/>
      <c r="E27" s="30"/>
      <c r="F27" s="31"/>
      <c r="H27" s="124"/>
      <c r="I27" s="18"/>
      <c r="J27" s="125"/>
    </row>
    <row r="28" spans="2:10" ht="12">
      <c r="B28" s="29"/>
      <c r="C28" s="47" t="s">
        <v>147</v>
      </c>
      <c r="D28" s="51">
        <v>32.06</v>
      </c>
      <c r="E28" s="30"/>
      <c r="F28" s="31" t="s">
        <v>68</v>
      </c>
      <c r="H28" s="29" t="s">
        <v>120</v>
      </c>
      <c r="I28" s="30"/>
      <c r="J28" s="31">
        <f>J24-J26</f>
        <v>10</v>
      </c>
    </row>
    <row r="29" spans="2:10" ht="12">
      <c r="B29" s="29"/>
      <c r="C29" s="30"/>
      <c r="D29" s="30"/>
      <c r="E29" s="30"/>
      <c r="F29" s="31"/>
      <c r="H29" s="124"/>
      <c r="I29" s="18"/>
      <c r="J29" s="125"/>
    </row>
    <row r="30" spans="2:10" ht="12">
      <c r="B30" s="29"/>
      <c r="C30" s="30" t="s">
        <v>69</v>
      </c>
      <c r="D30" s="36">
        <f>D24/D26</f>
        <v>7.648941896371002</v>
      </c>
      <c r="E30" s="30"/>
      <c r="F30" s="31" t="s">
        <v>71</v>
      </c>
      <c r="H30" s="29" t="s">
        <v>121</v>
      </c>
      <c r="I30" s="30"/>
      <c r="J30" s="31">
        <f>D24</f>
        <v>270</v>
      </c>
    </row>
    <row r="31" spans="2:10" ht="12">
      <c r="B31" s="29"/>
      <c r="C31" s="30"/>
      <c r="D31" s="30"/>
      <c r="E31" s="30"/>
      <c r="F31" s="31"/>
      <c r="H31" s="124"/>
      <c r="I31" s="18"/>
      <c r="J31" s="125"/>
    </row>
    <row r="32" spans="2:10" ht="12">
      <c r="B32" s="33"/>
      <c r="C32" s="128" t="s">
        <v>69</v>
      </c>
      <c r="D32" s="129">
        <f>D30*3.6</f>
        <v>27.53619082693561</v>
      </c>
      <c r="E32" s="128"/>
      <c r="F32" s="35" t="s">
        <v>70</v>
      </c>
      <c r="H32" s="33" t="s">
        <v>122</v>
      </c>
      <c r="I32" s="126"/>
      <c r="J32" s="127">
        <f>J28/J30</f>
        <v>0.037037037037037035</v>
      </c>
    </row>
  </sheetData>
  <sheetProtection/>
  <mergeCells count="5">
    <mergeCell ref="B22:C22"/>
    <mergeCell ref="B2:K2"/>
    <mergeCell ref="B3:K3"/>
    <mergeCell ref="B4:K4"/>
    <mergeCell ref="D6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8"/>
  <sheetViews>
    <sheetView zoomScale="150" zoomScaleNormal="150" workbookViewId="0" topLeftCell="C1">
      <selection activeCell="H10" sqref="H10"/>
    </sheetView>
  </sheetViews>
  <sheetFormatPr defaultColWidth="11.421875" defaultRowHeight="12.75"/>
  <cols>
    <col min="1" max="1" width="3.7109375" style="0" customWidth="1"/>
    <col min="2" max="2" width="8.421875" style="0" bestFit="1" customWidth="1"/>
    <col min="3" max="3" width="22.28125" style="0" customWidth="1"/>
    <col min="4" max="4" width="14.421875" style="0" bestFit="1" customWidth="1"/>
    <col min="5" max="5" width="15.00390625" style="0" bestFit="1" customWidth="1"/>
    <col min="6" max="6" width="13.7109375" style="0" bestFit="1" customWidth="1"/>
    <col min="7" max="7" width="14.28125" style="0" bestFit="1" customWidth="1"/>
    <col min="8" max="8" width="13.7109375" style="0" bestFit="1" customWidth="1"/>
    <col min="9" max="9" width="14.28125" style="0" bestFit="1" customWidth="1"/>
    <col min="10" max="11" width="10.7109375" style="0" customWidth="1"/>
    <col min="12" max="12" width="5.7109375" style="0" customWidth="1"/>
  </cols>
  <sheetData>
    <row r="1" ht="12.75" thickBot="1"/>
    <row r="2" spans="2:11" ht="15.75" thickBot="1">
      <c r="B2" s="201" t="s">
        <v>45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.75" thickBot="1">
      <c r="B4" s="210" t="s">
        <v>44</v>
      </c>
      <c r="C4" s="202"/>
      <c r="D4" s="202"/>
      <c r="E4" s="202"/>
      <c r="F4" s="202"/>
      <c r="G4" s="202"/>
      <c r="H4" s="202"/>
      <c r="I4" s="202"/>
      <c r="J4" s="202"/>
      <c r="K4" s="203"/>
    </row>
    <row r="5" spans="2:11" ht="15.7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thickBot="1">
      <c r="B6" s="3"/>
      <c r="C6" s="3"/>
      <c r="D6" s="201" t="s">
        <v>53</v>
      </c>
      <c r="E6" s="202"/>
      <c r="F6" s="202"/>
      <c r="G6" s="202"/>
      <c r="H6" s="202"/>
      <c r="I6" s="203"/>
      <c r="J6" s="3"/>
      <c r="K6" s="3"/>
    </row>
    <row r="8" ht="12.75" thickBot="1"/>
    <row r="9" spans="2:11" ht="12">
      <c r="B9" s="4" t="s">
        <v>49</v>
      </c>
      <c r="C9" s="5" t="s">
        <v>50</v>
      </c>
      <c r="D9" s="5" t="s">
        <v>4</v>
      </c>
      <c r="E9" s="5" t="s">
        <v>3</v>
      </c>
      <c r="F9" s="5" t="s">
        <v>38</v>
      </c>
      <c r="G9" s="5" t="s">
        <v>5</v>
      </c>
      <c r="H9" s="5" t="s">
        <v>7</v>
      </c>
      <c r="I9" s="5" t="s">
        <v>6</v>
      </c>
      <c r="J9" s="5" t="s">
        <v>51</v>
      </c>
      <c r="K9" s="6" t="s">
        <v>52</v>
      </c>
    </row>
    <row r="10" spans="2:11" ht="12">
      <c r="B10" s="154">
        <v>62</v>
      </c>
      <c r="C10" s="155" t="s">
        <v>142</v>
      </c>
      <c r="D10" s="131">
        <v>36.19</v>
      </c>
      <c r="E10" s="143">
        <v>35.87</v>
      </c>
      <c r="F10" s="142">
        <v>35.57</v>
      </c>
      <c r="G10" s="194">
        <v>36.37</v>
      </c>
      <c r="H10" s="194">
        <v>36.25</v>
      </c>
      <c r="I10" s="143">
        <v>35.86</v>
      </c>
      <c r="J10" s="93">
        <f aca="true" t="shared" si="0" ref="J10:J15">F10+G10+H10+I10</f>
        <v>144.05</v>
      </c>
      <c r="K10" s="43">
        <v>1</v>
      </c>
    </row>
    <row r="11" spans="2:11" ht="12">
      <c r="B11" s="154">
        <v>63</v>
      </c>
      <c r="C11" s="155" t="s">
        <v>143</v>
      </c>
      <c r="D11" s="142">
        <v>35.89</v>
      </c>
      <c r="E11" s="131">
        <v>36.09</v>
      </c>
      <c r="F11" s="194">
        <v>36.29</v>
      </c>
      <c r="G11" s="143">
        <v>35.91</v>
      </c>
      <c r="H11" s="194">
        <v>35.76</v>
      </c>
      <c r="I11" s="131">
        <v>36.26</v>
      </c>
      <c r="J11" s="93">
        <f t="shared" si="0"/>
        <v>144.21999999999997</v>
      </c>
      <c r="K11" s="43">
        <v>2</v>
      </c>
    </row>
    <row r="12" spans="2:11" ht="12">
      <c r="B12" s="154">
        <v>61</v>
      </c>
      <c r="C12" s="155" t="s">
        <v>59</v>
      </c>
      <c r="D12" s="194">
        <v>36.09</v>
      </c>
      <c r="E12" s="131">
        <v>36.19</v>
      </c>
      <c r="F12" s="131">
        <v>36.24</v>
      </c>
      <c r="G12" s="143">
        <v>35.91</v>
      </c>
      <c r="H12" s="131">
        <v>35.84</v>
      </c>
      <c r="I12" s="131">
        <v>36.37</v>
      </c>
      <c r="J12" s="93">
        <f t="shared" si="0"/>
        <v>144.36</v>
      </c>
      <c r="K12" s="43">
        <v>3</v>
      </c>
    </row>
    <row r="13" spans="2:11" ht="12">
      <c r="B13" s="154">
        <v>65</v>
      </c>
      <c r="C13" s="155" t="s">
        <v>60</v>
      </c>
      <c r="D13" s="131">
        <v>36.51</v>
      </c>
      <c r="E13" s="131">
        <v>36.32</v>
      </c>
      <c r="F13" s="131">
        <v>36.63</v>
      </c>
      <c r="G13" s="131">
        <v>36.22</v>
      </c>
      <c r="H13" s="142">
        <v>35.71</v>
      </c>
      <c r="I13" s="131">
        <v>36.41</v>
      </c>
      <c r="J13" s="93">
        <f t="shared" si="0"/>
        <v>144.97</v>
      </c>
      <c r="K13" s="8">
        <v>4</v>
      </c>
    </row>
    <row r="14" spans="2:11" ht="12">
      <c r="B14" s="154">
        <v>64</v>
      </c>
      <c r="C14" s="155" t="s">
        <v>61</v>
      </c>
      <c r="D14" s="131">
        <v>36.67</v>
      </c>
      <c r="E14" s="131">
        <v>37</v>
      </c>
      <c r="F14" s="131">
        <v>37.9</v>
      </c>
      <c r="G14" s="131">
        <v>37.14</v>
      </c>
      <c r="H14" s="131">
        <v>36.78</v>
      </c>
      <c r="I14" s="131">
        <v>36.38</v>
      </c>
      <c r="J14" s="93">
        <f t="shared" si="0"/>
        <v>148.2</v>
      </c>
      <c r="K14" s="43">
        <v>5</v>
      </c>
    </row>
    <row r="15" spans="2:11" ht="12">
      <c r="B15" s="154">
        <v>66</v>
      </c>
      <c r="C15" s="155"/>
      <c r="D15" s="131"/>
      <c r="E15" s="131"/>
      <c r="F15" s="131"/>
      <c r="G15" s="131"/>
      <c r="H15" s="131"/>
      <c r="I15" s="131"/>
      <c r="J15" s="93">
        <f t="shared" si="0"/>
        <v>0</v>
      </c>
      <c r="K15" s="8">
        <v>6</v>
      </c>
    </row>
    <row r="16" spans="2:11" ht="12">
      <c r="B16" s="40"/>
      <c r="C16" s="41"/>
      <c r="D16" s="105"/>
      <c r="E16" s="105"/>
      <c r="F16" s="105"/>
      <c r="G16" s="105"/>
      <c r="H16" s="105"/>
      <c r="I16" s="105"/>
      <c r="J16" s="93"/>
      <c r="K16" s="8"/>
    </row>
    <row r="17" spans="2:11" ht="12.75" thickBot="1">
      <c r="B17" s="9"/>
      <c r="C17" s="10"/>
      <c r="D17" s="105"/>
      <c r="E17" s="105"/>
      <c r="F17" s="105"/>
      <c r="G17" s="105"/>
      <c r="H17" s="105"/>
      <c r="I17" s="105"/>
      <c r="J17" s="93"/>
      <c r="K17" s="11"/>
    </row>
    <row r="18" spans="2:11" ht="12.75" thickBot="1">
      <c r="B18" s="207" t="s">
        <v>1</v>
      </c>
      <c r="C18" s="208"/>
      <c r="D18" s="94">
        <f aca="true" t="shared" si="1" ref="D18:I18">MIN(D10:D17)</f>
        <v>35.89</v>
      </c>
      <c r="E18" s="94">
        <f t="shared" si="1"/>
        <v>35.87</v>
      </c>
      <c r="F18" s="94">
        <f t="shared" si="1"/>
        <v>35.57</v>
      </c>
      <c r="G18" s="94">
        <f t="shared" si="1"/>
        <v>35.91</v>
      </c>
      <c r="H18" s="94">
        <f t="shared" si="1"/>
        <v>35.71</v>
      </c>
      <c r="I18" s="94">
        <f t="shared" si="1"/>
        <v>35.86</v>
      </c>
      <c r="J18" s="94"/>
      <c r="K18" s="82"/>
    </row>
    <row r="20" spans="2:10" ht="12">
      <c r="B20" s="26"/>
      <c r="C20" s="27" t="s">
        <v>66</v>
      </c>
      <c r="D20" s="27">
        <v>300</v>
      </c>
      <c r="E20" s="27" t="s">
        <v>74</v>
      </c>
      <c r="F20" s="28" t="s">
        <v>67</v>
      </c>
      <c r="H20" s="122" t="s">
        <v>117</v>
      </c>
      <c r="I20" s="27" t="s">
        <v>118</v>
      </c>
      <c r="J20" s="123">
        <v>532</v>
      </c>
    </row>
    <row r="21" spans="2:10" ht="12">
      <c r="B21" s="29"/>
      <c r="C21" s="30"/>
      <c r="D21" s="30"/>
      <c r="E21" s="30"/>
      <c r="F21" s="31"/>
      <c r="H21" s="124"/>
      <c r="I21" s="18"/>
      <c r="J21" s="125"/>
    </row>
    <row r="22" spans="2:10" ht="12">
      <c r="B22" s="29"/>
      <c r="C22" s="46" t="s">
        <v>108</v>
      </c>
      <c r="D22" s="95">
        <f>F18</f>
        <v>35.57</v>
      </c>
      <c r="E22" s="30"/>
      <c r="F22" s="31" t="s">
        <v>68</v>
      </c>
      <c r="H22" s="29" t="s">
        <v>119</v>
      </c>
      <c r="I22" s="30" t="s">
        <v>118</v>
      </c>
      <c r="J22" s="31">
        <v>519</v>
      </c>
    </row>
    <row r="23" spans="2:10" ht="12">
      <c r="B23" s="29"/>
      <c r="C23" s="30"/>
      <c r="D23" s="58"/>
      <c r="E23" s="30"/>
      <c r="F23" s="31"/>
      <c r="H23" s="124"/>
      <c r="I23" s="18"/>
      <c r="J23" s="125"/>
    </row>
    <row r="24" spans="2:10" ht="12">
      <c r="B24" s="29"/>
      <c r="C24" s="47" t="s">
        <v>8</v>
      </c>
      <c r="D24" s="96">
        <f>I10</f>
        <v>35.86</v>
      </c>
      <c r="E24" s="30"/>
      <c r="F24" s="31" t="s">
        <v>68</v>
      </c>
      <c r="H24" s="29" t="s">
        <v>120</v>
      </c>
      <c r="I24" s="30"/>
      <c r="J24" s="31">
        <f>J20-J22</f>
        <v>13</v>
      </c>
    </row>
    <row r="25" spans="2:10" ht="12">
      <c r="B25" s="29"/>
      <c r="C25" s="30"/>
      <c r="D25" s="30"/>
      <c r="E25" s="30"/>
      <c r="F25" s="31"/>
      <c r="H25" s="124"/>
      <c r="I25" s="18"/>
      <c r="J25" s="125"/>
    </row>
    <row r="26" spans="2:10" ht="12">
      <c r="B26" s="29"/>
      <c r="C26" s="30" t="s">
        <v>69</v>
      </c>
      <c r="D26" s="58">
        <f>D20/D22</f>
        <v>8.43407365757661</v>
      </c>
      <c r="E26" s="30"/>
      <c r="F26" s="31" t="s">
        <v>71</v>
      </c>
      <c r="H26" s="29" t="s">
        <v>121</v>
      </c>
      <c r="I26" s="30"/>
      <c r="J26" s="31">
        <v>300</v>
      </c>
    </row>
    <row r="27" spans="2:10" ht="12">
      <c r="B27" s="29"/>
      <c r="C27" s="30"/>
      <c r="D27" s="30"/>
      <c r="E27" s="30"/>
      <c r="F27" s="31"/>
      <c r="H27" s="124"/>
      <c r="I27" s="18"/>
      <c r="J27" s="125"/>
    </row>
    <row r="28" spans="2:10" ht="12">
      <c r="B28" s="33"/>
      <c r="C28" s="128" t="s">
        <v>69</v>
      </c>
      <c r="D28" s="129">
        <f>D26*3.6</f>
        <v>30.362665167275797</v>
      </c>
      <c r="E28" s="128"/>
      <c r="F28" s="35" t="s">
        <v>70</v>
      </c>
      <c r="H28" s="33" t="s">
        <v>122</v>
      </c>
      <c r="I28" s="126"/>
      <c r="J28" s="127">
        <f>J24/J26</f>
        <v>0.043333333333333335</v>
      </c>
    </row>
  </sheetData>
  <sheetProtection/>
  <mergeCells count="4">
    <mergeCell ref="B2:K2"/>
    <mergeCell ref="B4:K4"/>
    <mergeCell ref="D6:I6"/>
    <mergeCell ref="B18:C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zoomScale="150" zoomScaleNormal="150" zoomScalePageLayoutView="0" workbookViewId="0" topLeftCell="A1">
      <selection activeCell="E18" sqref="E18"/>
    </sheetView>
  </sheetViews>
  <sheetFormatPr defaultColWidth="11.421875" defaultRowHeight="12.75"/>
  <cols>
    <col min="1" max="1" width="3.7109375" style="0" customWidth="1"/>
    <col min="2" max="2" width="8.421875" style="0" bestFit="1" customWidth="1"/>
    <col min="3" max="3" width="22.28125" style="0" customWidth="1"/>
    <col min="4" max="4" width="14.421875" style="0" bestFit="1" customWidth="1"/>
    <col min="5" max="5" width="15.00390625" style="0" bestFit="1" customWidth="1"/>
    <col min="6" max="6" width="13.7109375" style="0" bestFit="1" customWidth="1"/>
    <col min="7" max="7" width="14.28125" style="0" bestFit="1" customWidth="1"/>
    <col min="8" max="8" width="13.7109375" style="0" bestFit="1" customWidth="1"/>
    <col min="9" max="9" width="14.28125" style="0" bestFit="1" customWidth="1"/>
    <col min="10" max="11" width="10.7109375" style="0" customWidth="1"/>
    <col min="12" max="12" width="5.7109375" style="0" customWidth="1"/>
  </cols>
  <sheetData>
    <row r="1" ht="12.75" thickBot="1"/>
    <row r="2" spans="2:11" ht="15.75" thickBot="1">
      <c r="B2" s="201" t="s">
        <v>46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.75" thickBot="1">
      <c r="B4" s="210" t="s">
        <v>149</v>
      </c>
      <c r="C4" s="202"/>
      <c r="D4" s="202"/>
      <c r="E4" s="202"/>
      <c r="F4" s="202"/>
      <c r="G4" s="202"/>
      <c r="H4" s="202"/>
      <c r="I4" s="202"/>
      <c r="J4" s="202"/>
      <c r="K4" s="203"/>
    </row>
    <row r="5" spans="2:11" ht="15.7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thickBot="1">
      <c r="B6" s="3"/>
      <c r="C6" s="3"/>
      <c r="D6" s="201" t="s">
        <v>53</v>
      </c>
      <c r="E6" s="202"/>
      <c r="F6" s="202"/>
      <c r="G6" s="202"/>
      <c r="H6" s="202"/>
      <c r="I6" s="203"/>
      <c r="J6" s="3"/>
      <c r="K6" s="3"/>
    </row>
    <row r="8" spans="4:9" ht="12.75" thickBot="1">
      <c r="D8" s="198" t="s">
        <v>92</v>
      </c>
      <c r="E8" s="198" t="s">
        <v>93</v>
      </c>
      <c r="F8" s="198" t="s">
        <v>92</v>
      </c>
      <c r="G8" s="198" t="s">
        <v>91</v>
      </c>
      <c r="H8" s="198" t="s">
        <v>92</v>
      </c>
      <c r="I8" s="198" t="s">
        <v>91</v>
      </c>
    </row>
    <row r="9" spans="2:11" ht="12">
      <c r="B9" s="4" t="s">
        <v>49</v>
      </c>
      <c r="C9" s="5" t="s">
        <v>50</v>
      </c>
      <c r="D9" s="5" t="s">
        <v>96</v>
      </c>
      <c r="E9" s="5" t="s">
        <v>96</v>
      </c>
      <c r="F9" s="5" t="s">
        <v>95</v>
      </c>
      <c r="G9" s="5" t="s">
        <v>97</v>
      </c>
      <c r="H9" s="5" t="s">
        <v>98</v>
      </c>
      <c r="I9" s="5" t="s">
        <v>99</v>
      </c>
      <c r="J9" s="5" t="s">
        <v>51</v>
      </c>
      <c r="K9" s="6" t="s">
        <v>52</v>
      </c>
    </row>
    <row r="10" spans="2:11" ht="12">
      <c r="B10" s="157">
        <v>19</v>
      </c>
      <c r="C10" s="102" t="s">
        <v>150</v>
      </c>
      <c r="D10" s="159" t="s">
        <v>48</v>
      </c>
      <c r="E10" s="160" t="s">
        <v>48</v>
      </c>
      <c r="F10" s="197">
        <v>33.51</v>
      </c>
      <c r="G10" s="197">
        <v>33.71</v>
      </c>
      <c r="H10" s="156">
        <v>33.89</v>
      </c>
      <c r="I10" s="197">
        <v>34.28</v>
      </c>
      <c r="J10" s="16">
        <f>F10+G10+H10+I10</f>
        <v>135.39</v>
      </c>
      <c r="K10" s="43">
        <v>1</v>
      </c>
    </row>
    <row r="11" spans="2:11" ht="12">
      <c r="B11" s="158">
        <v>18</v>
      </c>
      <c r="C11" s="102" t="s">
        <v>151</v>
      </c>
      <c r="D11" s="156" t="s">
        <v>48</v>
      </c>
      <c r="E11" s="156" t="s">
        <v>48</v>
      </c>
      <c r="F11" s="159">
        <v>33.59</v>
      </c>
      <c r="G11" s="160">
        <v>33.64</v>
      </c>
      <c r="H11" s="156">
        <v>34.24</v>
      </c>
      <c r="I11" s="156">
        <v>34.19</v>
      </c>
      <c r="J11" s="16">
        <f>F11+G11+H11+I11</f>
        <v>135.66</v>
      </c>
      <c r="K11" s="43">
        <v>2</v>
      </c>
    </row>
    <row r="12" spans="2:11" ht="12">
      <c r="B12" s="157">
        <v>16</v>
      </c>
      <c r="C12" s="137" t="s">
        <v>12</v>
      </c>
      <c r="D12" s="156" t="s">
        <v>48</v>
      </c>
      <c r="E12" s="156" t="s">
        <v>48</v>
      </c>
      <c r="F12" s="156">
        <v>33.82</v>
      </c>
      <c r="G12" s="156">
        <v>33.71</v>
      </c>
      <c r="H12" s="156">
        <v>33.96</v>
      </c>
      <c r="I12" s="156">
        <v>34.45</v>
      </c>
      <c r="J12" s="16">
        <f>F12+G12+H12+I12</f>
        <v>135.94</v>
      </c>
      <c r="K12" s="43">
        <v>3</v>
      </c>
    </row>
    <row r="13" spans="2:11" ht="12">
      <c r="B13" s="158">
        <v>15</v>
      </c>
      <c r="C13" s="138" t="s">
        <v>13</v>
      </c>
      <c r="D13" s="156" t="s">
        <v>48</v>
      </c>
      <c r="E13" s="156"/>
      <c r="F13" s="156">
        <v>33.92</v>
      </c>
      <c r="G13" s="156">
        <v>34.06</v>
      </c>
      <c r="H13" s="197">
        <v>33.99</v>
      </c>
      <c r="I13" s="156">
        <v>34.32</v>
      </c>
      <c r="J13" s="16">
        <f>F13+G13+H13+I13</f>
        <v>136.29</v>
      </c>
      <c r="K13" s="8">
        <v>4</v>
      </c>
    </row>
    <row r="14" spans="2:11" ht="12">
      <c r="B14" s="157">
        <v>12</v>
      </c>
      <c r="C14" s="103" t="s">
        <v>14</v>
      </c>
      <c r="D14" s="156" t="s">
        <v>48</v>
      </c>
      <c r="E14" s="156"/>
      <c r="F14" s="156">
        <v>34.43</v>
      </c>
      <c r="G14" s="156">
        <v>34.23</v>
      </c>
      <c r="H14" s="159">
        <v>33.83</v>
      </c>
      <c r="I14" s="156">
        <v>34.29</v>
      </c>
      <c r="J14" s="16">
        <f aca="true" t="shared" si="0" ref="J14:J21">F14+G14+H14+I14</f>
        <v>136.78</v>
      </c>
      <c r="K14" s="43">
        <v>5</v>
      </c>
    </row>
    <row r="15" spans="2:11" ht="12">
      <c r="B15" s="158">
        <v>13</v>
      </c>
      <c r="C15" s="103" t="s">
        <v>17</v>
      </c>
      <c r="D15" s="156" t="s">
        <v>48</v>
      </c>
      <c r="E15" s="156"/>
      <c r="F15" s="156">
        <v>33.77</v>
      </c>
      <c r="G15" s="156">
        <v>35.02</v>
      </c>
      <c r="H15" s="156">
        <v>34.05</v>
      </c>
      <c r="I15" s="160">
        <v>34</v>
      </c>
      <c r="J15" s="16">
        <f t="shared" si="0"/>
        <v>136.84</v>
      </c>
      <c r="K15" s="8">
        <v>6</v>
      </c>
    </row>
    <row r="16" spans="2:11" ht="12">
      <c r="B16" s="157">
        <v>11</v>
      </c>
      <c r="C16" s="104" t="s">
        <v>59</v>
      </c>
      <c r="D16" s="156" t="s">
        <v>48</v>
      </c>
      <c r="E16" s="156"/>
      <c r="F16" s="156">
        <v>33.4</v>
      </c>
      <c r="G16" s="156">
        <v>35.61</v>
      </c>
      <c r="H16" s="156">
        <v>34.05</v>
      </c>
      <c r="I16" s="160">
        <v>34</v>
      </c>
      <c r="J16" s="16">
        <f t="shared" si="0"/>
        <v>137.06</v>
      </c>
      <c r="K16" s="43">
        <v>7</v>
      </c>
    </row>
    <row r="17" spans="2:11" ht="12">
      <c r="B17" s="158">
        <v>14</v>
      </c>
      <c r="C17" s="103" t="s">
        <v>60</v>
      </c>
      <c r="D17" s="156" t="s">
        <v>48</v>
      </c>
      <c r="E17" s="156"/>
      <c r="F17" s="156">
        <v>34.33</v>
      </c>
      <c r="G17" s="156">
        <v>34.08</v>
      </c>
      <c r="H17" s="156">
        <v>34.27</v>
      </c>
      <c r="I17" s="156">
        <v>34.33</v>
      </c>
      <c r="J17" s="16">
        <f t="shared" si="0"/>
        <v>137.01</v>
      </c>
      <c r="K17" s="8">
        <v>8</v>
      </c>
    </row>
    <row r="18" spans="2:11" ht="12">
      <c r="B18" s="157">
        <v>17</v>
      </c>
      <c r="C18" s="103" t="s">
        <v>18</v>
      </c>
      <c r="D18" s="156" t="s">
        <v>48</v>
      </c>
      <c r="E18" s="156"/>
      <c r="F18" s="156">
        <v>34.08</v>
      </c>
      <c r="G18" s="156">
        <v>34.51</v>
      </c>
      <c r="H18" s="156">
        <v>34.64</v>
      </c>
      <c r="I18" s="156">
        <v>34.56</v>
      </c>
      <c r="J18" s="16">
        <f t="shared" si="0"/>
        <v>137.79000000000002</v>
      </c>
      <c r="K18" s="43">
        <v>9</v>
      </c>
    </row>
    <row r="19" spans="2:11" ht="12">
      <c r="B19" s="158">
        <v>22</v>
      </c>
      <c r="C19" s="140" t="s">
        <v>19</v>
      </c>
      <c r="D19" s="156" t="s">
        <v>48</v>
      </c>
      <c r="E19" s="156"/>
      <c r="F19" s="156">
        <v>33.88</v>
      </c>
      <c r="G19" s="156">
        <v>34.89</v>
      </c>
      <c r="H19" s="156">
        <v>34.85</v>
      </c>
      <c r="I19" s="156">
        <v>34.9</v>
      </c>
      <c r="J19" s="16">
        <f t="shared" si="0"/>
        <v>138.52</v>
      </c>
      <c r="K19" s="8">
        <v>10</v>
      </c>
    </row>
    <row r="20" spans="2:11" ht="12">
      <c r="B20" s="157">
        <v>10</v>
      </c>
      <c r="C20" s="140" t="s">
        <v>28</v>
      </c>
      <c r="D20" s="156" t="s">
        <v>47</v>
      </c>
      <c r="E20" s="156"/>
      <c r="F20" s="156">
        <v>35.41</v>
      </c>
      <c r="G20" s="156">
        <v>34.1</v>
      </c>
      <c r="H20" s="156">
        <v>34.5</v>
      </c>
      <c r="I20" s="156">
        <v>35.07</v>
      </c>
      <c r="J20" s="16">
        <f t="shared" si="0"/>
        <v>139.07999999999998</v>
      </c>
      <c r="K20" s="43">
        <v>11</v>
      </c>
    </row>
    <row r="21" spans="2:11" ht="12">
      <c r="B21" s="195">
        <v>20</v>
      </c>
      <c r="C21" s="196" t="s">
        <v>29</v>
      </c>
      <c r="D21" s="105"/>
      <c r="E21" s="105"/>
      <c r="F21" s="105">
        <v>35.84</v>
      </c>
      <c r="G21" s="105">
        <v>35.05</v>
      </c>
      <c r="H21" s="105">
        <v>35.48</v>
      </c>
      <c r="I21" s="105">
        <v>36.24</v>
      </c>
      <c r="J21" s="93">
        <f t="shared" si="0"/>
        <v>142.61</v>
      </c>
      <c r="K21" s="42">
        <v>12</v>
      </c>
    </row>
    <row r="22" spans="2:11" ht="12">
      <c r="B22" s="40"/>
      <c r="C22" s="41"/>
      <c r="D22" s="105"/>
      <c r="E22" s="105"/>
      <c r="F22" s="105"/>
      <c r="G22" s="105"/>
      <c r="H22" s="105"/>
      <c r="I22" s="105"/>
      <c r="J22" s="93"/>
      <c r="K22" s="42"/>
    </row>
    <row r="23" spans="2:11" ht="12.75" thickBot="1">
      <c r="B23" s="9"/>
      <c r="C23" s="10"/>
      <c r="D23" s="105"/>
      <c r="E23" s="105"/>
      <c r="F23" s="105"/>
      <c r="G23" s="105"/>
      <c r="H23" s="105"/>
      <c r="I23" s="105"/>
      <c r="J23" s="93"/>
      <c r="K23" s="11"/>
    </row>
    <row r="24" spans="2:11" ht="12.75" thickBot="1">
      <c r="B24" s="207" t="s">
        <v>1</v>
      </c>
      <c r="C24" s="208"/>
      <c r="D24" s="94">
        <f aca="true" t="shared" si="1" ref="D24:I24">MIN(D10:D23)</f>
        <v>0</v>
      </c>
      <c r="E24" s="94">
        <f t="shared" si="1"/>
        <v>0</v>
      </c>
      <c r="F24" s="94">
        <f t="shared" si="1"/>
        <v>33.4</v>
      </c>
      <c r="G24" s="94">
        <f t="shared" si="1"/>
        <v>33.64</v>
      </c>
      <c r="H24" s="94">
        <f t="shared" si="1"/>
        <v>33.83</v>
      </c>
      <c r="I24" s="94">
        <f t="shared" si="1"/>
        <v>34</v>
      </c>
      <c r="J24" s="94"/>
      <c r="K24" s="82"/>
    </row>
    <row r="26" spans="2:10" ht="12">
      <c r="B26" s="26"/>
      <c r="C26" s="27" t="s">
        <v>66</v>
      </c>
      <c r="D26" s="27">
        <v>300</v>
      </c>
      <c r="E26" s="27" t="s">
        <v>74</v>
      </c>
      <c r="F26" s="28" t="s">
        <v>67</v>
      </c>
      <c r="H26" s="122" t="s">
        <v>117</v>
      </c>
      <c r="I26" s="27" t="s">
        <v>118</v>
      </c>
      <c r="J26" s="123">
        <v>314</v>
      </c>
    </row>
    <row r="27" spans="2:10" ht="12">
      <c r="B27" s="29"/>
      <c r="C27" s="30"/>
      <c r="D27" s="30"/>
      <c r="E27" s="30"/>
      <c r="F27" s="31"/>
      <c r="H27" s="124"/>
      <c r="I27" s="18"/>
      <c r="J27" s="125"/>
    </row>
    <row r="28" spans="2:10" ht="12">
      <c r="B28" s="29"/>
      <c r="C28" s="46" t="s">
        <v>75</v>
      </c>
      <c r="D28" s="95">
        <f>F24</f>
        <v>33.4</v>
      </c>
      <c r="E28" s="30"/>
      <c r="F28" s="31" t="s">
        <v>68</v>
      </c>
      <c r="H28" s="29" t="s">
        <v>119</v>
      </c>
      <c r="I28" s="30" t="s">
        <v>118</v>
      </c>
      <c r="J28" s="31">
        <v>304</v>
      </c>
    </row>
    <row r="29" spans="2:10" ht="12">
      <c r="B29" s="29"/>
      <c r="C29" s="30"/>
      <c r="D29" s="58"/>
      <c r="E29" s="30"/>
      <c r="F29" s="31"/>
      <c r="H29" s="124"/>
      <c r="I29" s="18"/>
      <c r="J29" s="125"/>
    </row>
    <row r="30" spans="2:10" ht="12">
      <c r="B30" s="29"/>
      <c r="C30" s="47" t="s">
        <v>0</v>
      </c>
      <c r="D30" s="96">
        <f>I10</f>
        <v>34.28</v>
      </c>
      <c r="E30" s="30"/>
      <c r="F30" s="31" t="s">
        <v>68</v>
      </c>
      <c r="H30" s="29" t="s">
        <v>120</v>
      </c>
      <c r="I30" s="30"/>
      <c r="J30" s="31">
        <f>J26-J28</f>
        <v>10</v>
      </c>
    </row>
    <row r="31" spans="2:10" ht="12">
      <c r="B31" s="29"/>
      <c r="C31" s="30"/>
      <c r="D31" s="48"/>
      <c r="E31" s="30"/>
      <c r="F31" s="31"/>
      <c r="H31" s="124"/>
      <c r="I31" s="18"/>
      <c r="J31" s="125"/>
    </row>
    <row r="32" spans="2:10" ht="12">
      <c r="B32" s="29"/>
      <c r="C32" s="30" t="s">
        <v>69</v>
      </c>
      <c r="D32" s="58">
        <f>D26/D28</f>
        <v>8.982035928143713</v>
      </c>
      <c r="E32" s="30"/>
      <c r="F32" s="31" t="s">
        <v>71</v>
      </c>
      <c r="H32" s="29" t="s">
        <v>121</v>
      </c>
      <c r="I32" s="30"/>
      <c r="J32" s="31">
        <f>D26</f>
        <v>300</v>
      </c>
    </row>
    <row r="33" spans="2:10" ht="12">
      <c r="B33" s="29"/>
      <c r="C33" s="30"/>
      <c r="D33" s="30"/>
      <c r="E33" s="30"/>
      <c r="F33" s="31"/>
      <c r="H33" s="124"/>
      <c r="I33" s="18"/>
      <c r="J33" s="125"/>
    </row>
    <row r="34" spans="2:10" ht="12">
      <c r="B34" s="33"/>
      <c r="C34" s="128" t="s">
        <v>69</v>
      </c>
      <c r="D34" s="129">
        <f>D32*3.6</f>
        <v>32.33532934131737</v>
      </c>
      <c r="E34" s="128"/>
      <c r="F34" s="35" t="s">
        <v>70</v>
      </c>
      <c r="H34" s="33" t="s">
        <v>122</v>
      </c>
      <c r="I34" s="126"/>
      <c r="J34" s="127">
        <f>J30/J32</f>
        <v>0.03333333333333333</v>
      </c>
    </row>
  </sheetData>
  <sheetProtection/>
  <mergeCells count="4">
    <mergeCell ref="B2:K2"/>
    <mergeCell ref="B4:K4"/>
    <mergeCell ref="D6:I6"/>
    <mergeCell ref="B24:C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7"/>
  <sheetViews>
    <sheetView zoomScale="150" zoomScaleNormal="150" workbookViewId="0" topLeftCell="A1">
      <selection activeCell="E8" sqref="E8"/>
    </sheetView>
  </sheetViews>
  <sheetFormatPr defaultColWidth="11.421875" defaultRowHeight="12.75"/>
  <cols>
    <col min="1" max="1" width="3.7109375" style="0" customWidth="1"/>
    <col min="2" max="2" width="8.421875" style="0" bestFit="1" customWidth="1"/>
    <col min="3" max="3" width="22.28125" style="0" customWidth="1"/>
    <col min="4" max="4" width="14.421875" style="0" bestFit="1" customWidth="1"/>
    <col min="5" max="5" width="15.00390625" style="0" bestFit="1" customWidth="1"/>
    <col min="6" max="6" width="13.7109375" style="0" bestFit="1" customWidth="1"/>
    <col min="7" max="7" width="14.28125" style="0" bestFit="1" customWidth="1"/>
    <col min="8" max="8" width="13.7109375" style="0" bestFit="1" customWidth="1"/>
    <col min="9" max="9" width="14.28125" style="0" bestFit="1" customWidth="1"/>
    <col min="10" max="11" width="10.7109375" style="0" customWidth="1"/>
    <col min="12" max="12" width="5.7109375" style="0" customWidth="1"/>
  </cols>
  <sheetData>
    <row r="1" ht="12.75" thickBot="1"/>
    <row r="2" spans="2:11" ht="15.75" thickBot="1">
      <c r="B2" s="201" t="s">
        <v>140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.75" thickBot="1">
      <c r="B4" s="210" t="s">
        <v>30</v>
      </c>
      <c r="C4" s="202"/>
      <c r="D4" s="202"/>
      <c r="E4" s="202"/>
      <c r="F4" s="202"/>
      <c r="G4" s="202"/>
      <c r="H4" s="202"/>
      <c r="I4" s="202"/>
      <c r="J4" s="202"/>
      <c r="K4" s="203"/>
    </row>
    <row r="5" spans="2:11" ht="15.7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thickBot="1">
      <c r="B6" s="3"/>
      <c r="C6" s="3"/>
      <c r="D6" s="201" t="s">
        <v>53</v>
      </c>
      <c r="E6" s="202"/>
      <c r="F6" s="202"/>
      <c r="G6" s="202"/>
      <c r="H6" s="202"/>
      <c r="I6" s="203"/>
      <c r="J6" s="3"/>
      <c r="K6" s="3"/>
    </row>
    <row r="8" spans="4:9" ht="12.75" thickBot="1">
      <c r="D8" s="198" t="s">
        <v>94</v>
      </c>
      <c r="E8" s="198" t="s">
        <v>27</v>
      </c>
      <c r="F8" s="198" t="s">
        <v>20</v>
      </c>
      <c r="G8" s="198" t="s">
        <v>21</v>
      </c>
      <c r="H8" s="198" t="s">
        <v>20</v>
      </c>
      <c r="I8" s="198" t="s">
        <v>21</v>
      </c>
    </row>
    <row r="9" spans="2:11" ht="12">
      <c r="B9" s="4" t="s">
        <v>49</v>
      </c>
      <c r="C9" s="5" t="s">
        <v>50</v>
      </c>
      <c r="D9" s="5" t="s">
        <v>22</v>
      </c>
      <c r="E9" s="5" t="s">
        <v>23</v>
      </c>
      <c r="F9" s="5" t="s">
        <v>24</v>
      </c>
      <c r="G9" s="5" t="s">
        <v>25</v>
      </c>
      <c r="H9" s="5" t="s">
        <v>26</v>
      </c>
      <c r="I9" s="5" t="s">
        <v>25</v>
      </c>
      <c r="J9" s="5" t="s">
        <v>51</v>
      </c>
      <c r="K9" s="6" t="s">
        <v>52</v>
      </c>
    </row>
    <row r="10" spans="2:11" ht="12">
      <c r="B10" s="161">
        <v>21</v>
      </c>
      <c r="C10" s="102" t="s">
        <v>61</v>
      </c>
      <c r="D10" s="92" t="s">
        <v>16</v>
      </c>
      <c r="E10" s="133"/>
      <c r="F10" s="133">
        <v>40.21</v>
      </c>
      <c r="G10" s="143">
        <v>41.13</v>
      </c>
      <c r="H10" s="142">
        <v>39.74</v>
      </c>
      <c r="I10" s="133">
        <v>40.49</v>
      </c>
      <c r="J10" s="16">
        <f aca="true" t="shared" si="0" ref="J10:J17">F10+G10+H10+I10</f>
        <v>161.57000000000002</v>
      </c>
      <c r="K10" s="43">
        <v>1</v>
      </c>
    </row>
    <row r="11" spans="2:11" ht="12">
      <c r="B11" s="161">
        <v>20</v>
      </c>
      <c r="C11" s="102" t="s">
        <v>15</v>
      </c>
      <c r="D11" s="92"/>
      <c r="E11" s="133">
        <v>40.79</v>
      </c>
      <c r="F11" s="133">
        <v>40.21</v>
      </c>
      <c r="G11" s="133">
        <v>41.06</v>
      </c>
      <c r="H11" s="133">
        <v>39.6</v>
      </c>
      <c r="I11" s="133">
        <v>40.77</v>
      </c>
      <c r="J11" s="16">
        <f t="shared" si="0"/>
        <v>161.64000000000001</v>
      </c>
      <c r="K11" s="43">
        <v>2</v>
      </c>
    </row>
    <row r="12" spans="2:11" ht="12">
      <c r="B12" s="161"/>
      <c r="C12" s="137"/>
      <c r="D12" s="133"/>
      <c r="E12" s="133"/>
      <c r="F12" s="133"/>
      <c r="G12" s="133"/>
      <c r="H12" s="133"/>
      <c r="I12" s="133"/>
      <c r="J12" s="16">
        <f t="shared" si="0"/>
        <v>0</v>
      </c>
      <c r="K12" s="43">
        <v>3</v>
      </c>
    </row>
    <row r="13" spans="2:11" ht="12">
      <c r="B13" s="161"/>
      <c r="C13" s="138"/>
      <c r="D13" s="133"/>
      <c r="E13" s="133"/>
      <c r="F13" s="133"/>
      <c r="G13" s="133"/>
      <c r="H13" s="133"/>
      <c r="I13" s="133"/>
      <c r="J13" s="16">
        <f t="shared" si="0"/>
        <v>0</v>
      </c>
      <c r="K13" s="8">
        <v>4</v>
      </c>
    </row>
    <row r="14" spans="2:11" ht="12">
      <c r="B14" s="161"/>
      <c r="C14" s="102"/>
      <c r="D14" s="92"/>
      <c r="E14" s="92"/>
      <c r="F14" s="162"/>
      <c r="G14" s="92"/>
      <c r="H14" s="92"/>
      <c r="I14" s="92"/>
      <c r="J14" s="16">
        <f t="shared" si="0"/>
        <v>0</v>
      </c>
      <c r="K14" s="43">
        <v>5</v>
      </c>
    </row>
    <row r="15" spans="2:11" ht="12">
      <c r="B15" s="161"/>
      <c r="C15" s="102"/>
      <c r="D15" s="133"/>
      <c r="E15" s="133"/>
      <c r="F15" s="133"/>
      <c r="G15" s="133"/>
      <c r="H15" s="133"/>
      <c r="I15" s="133"/>
      <c r="J15" s="16">
        <f t="shared" si="0"/>
        <v>0</v>
      </c>
      <c r="K15" s="43">
        <v>6</v>
      </c>
    </row>
    <row r="16" spans="2:11" ht="12">
      <c r="B16" s="161">
        <v>1</v>
      </c>
      <c r="C16" s="104"/>
      <c r="D16" s="133"/>
      <c r="E16" s="133"/>
      <c r="F16" s="131"/>
      <c r="G16" s="131"/>
      <c r="H16" s="131"/>
      <c r="I16" s="143"/>
      <c r="J16" s="16">
        <f t="shared" si="0"/>
        <v>0</v>
      </c>
      <c r="K16" s="8">
        <v>7</v>
      </c>
    </row>
    <row r="17" spans="2:11" ht="12">
      <c r="B17" s="161"/>
      <c r="C17" s="103"/>
      <c r="D17" s="131"/>
      <c r="E17" s="131"/>
      <c r="F17" s="131"/>
      <c r="G17" s="131"/>
      <c r="H17" s="131"/>
      <c r="I17" s="131"/>
      <c r="J17" s="16">
        <f t="shared" si="0"/>
        <v>0</v>
      </c>
      <c r="K17" s="43">
        <v>8</v>
      </c>
    </row>
    <row r="18" spans="2:11" ht="12">
      <c r="B18" s="130"/>
      <c r="C18" s="103"/>
      <c r="D18" s="13"/>
      <c r="E18" s="131"/>
      <c r="F18" s="131"/>
      <c r="G18" s="131"/>
      <c r="H18" s="131"/>
      <c r="I18" s="131"/>
      <c r="J18" s="16"/>
      <c r="K18" s="43"/>
    </row>
    <row r="19" spans="2:11" ht="12">
      <c r="B19" s="139"/>
      <c r="C19" s="140"/>
      <c r="D19" s="92"/>
      <c r="E19" s="92"/>
      <c r="F19" s="92"/>
      <c r="G19" s="92"/>
      <c r="H19" s="92"/>
      <c r="I19" s="92"/>
      <c r="J19" s="16"/>
      <c r="K19" s="8"/>
    </row>
    <row r="20" spans="2:11" ht="12">
      <c r="B20" s="139"/>
      <c r="C20" s="140"/>
      <c r="D20" s="92"/>
      <c r="E20" s="92"/>
      <c r="F20" s="92"/>
      <c r="G20" s="92"/>
      <c r="H20" s="92"/>
      <c r="I20" s="92"/>
      <c r="J20" s="16"/>
      <c r="K20" s="43"/>
    </row>
    <row r="21" spans="2:11" ht="12">
      <c r="B21" s="139"/>
      <c r="C21" s="140"/>
      <c r="D21" s="92"/>
      <c r="E21" s="92"/>
      <c r="F21" s="92"/>
      <c r="G21" s="92"/>
      <c r="H21" s="92"/>
      <c r="I21" s="92"/>
      <c r="J21" s="16"/>
      <c r="K21" s="43"/>
    </row>
    <row r="22" spans="2:11" ht="12">
      <c r="B22" s="7"/>
      <c r="C22" s="2"/>
      <c r="D22" s="92"/>
      <c r="E22" s="92"/>
      <c r="F22" s="92"/>
      <c r="G22" s="92"/>
      <c r="H22" s="92"/>
      <c r="I22" s="92"/>
      <c r="J22" s="16"/>
      <c r="K22" s="8"/>
    </row>
    <row r="23" spans="2:11" ht="12">
      <c r="B23" s="40"/>
      <c r="C23" s="41"/>
      <c r="D23" s="92"/>
      <c r="E23" s="92"/>
      <c r="F23" s="92"/>
      <c r="G23" s="92"/>
      <c r="H23" s="92"/>
      <c r="I23" s="92"/>
      <c r="J23" s="16"/>
      <c r="K23" s="42"/>
    </row>
    <row r="24" spans="2:11" ht="12">
      <c r="B24" s="40"/>
      <c r="C24" s="41"/>
      <c r="D24" s="92"/>
      <c r="E24" s="92"/>
      <c r="F24" s="92"/>
      <c r="G24" s="92"/>
      <c r="H24" s="92"/>
      <c r="I24" s="92"/>
      <c r="J24" s="16"/>
      <c r="K24" s="42"/>
    </row>
    <row r="25" spans="2:11" ht="12">
      <c r="B25" s="40"/>
      <c r="C25" s="41"/>
      <c r="D25" s="92"/>
      <c r="E25" s="92"/>
      <c r="F25" s="92"/>
      <c r="G25" s="92"/>
      <c r="H25" s="92"/>
      <c r="I25" s="92"/>
      <c r="J25" s="16"/>
      <c r="K25" s="42"/>
    </row>
    <row r="26" spans="2:11" ht="12.75" thickBot="1">
      <c r="B26" s="9"/>
      <c r="C26" s="10"/>
      <c r="D26" s="92"/>
      <c r="E26" s="92"/>
      <c r="F26" s="92"/>
      <c r="G26" s="92"/>
      <c r="H26" s="92"/>
      <c r="I26" s="92"/>
      <c r="J26" s="16"/>
      <c r="K26" s="11"/>
    </row>
    <row r="27" spans="2:11" ht="12.75" thickBot="1">
      <c r="B27" s="207" t="s">
        <v>1</v>
      </c>
      <c r="C27" s="208"/>
      <c r="D27" s="81">
        <f aca="true" t="shared" si="1" ref="D27:I27">MIN(D10:D26)</f>
        <v>0</v>
      </c>
      <c r="E27" s="81">
        <f t="shared" si="1"/>
        <v>40.79</v>
      </c>
      <c r="F27" s="81">
        <f t="shared" si="1"/>
        <v>40.21</v>
      </c>
      <c r="G27" s="81">
        <f t="shared" si="1"/>
        <v>41.06</v>
      </c>
      <c r="H27" s="81">
        <f t="shared" si="1"/>
        <v>39.6</v>
      </c>
      <c r="I27" s="81">
        <f t="shared" si="1"/>
        <v>40.49</v>
      </c>
      <c r="J27" s="81"/>
      <c r="K27" s="82"/>
    </row>
    <row r="29" spans="2:10" ht="12">
      <c r="B29" s="26"/>
      <c r="C29" s="27" t="s">
        <v>66</v>
      </c>
      <c r="D29" s="27">
        <v>250</v>
      </c>
      <c r="E29" s="27" t="s">
        <v>74</v>
      </c>
      <c r="F29" s="28" t="s">
        <v>67</v>
      </c>
      <c r="H29" s="122" t="s">
        <v>117</v>
      </c>
      <c r="I29" s="27" t="s">
        <v>118</v>
      </c>
      <c r="J29" s="123">
        <v>694</v>
      </c>
    </row>
    <row r="30" spans="2:10" ht="12">
      <c r="B30" s="29"/>
      <c r="C30" s="30"/>
      <c r="D30" s="30"/>
      <c r="E30" s="30"/>
      <c r="F30" s="31"/>
      <c r="H30" s="124"/>
      <c r="I30" s="18"/>
      <c r="J30" s="125"/>
    </row>
    <row r="31" spans="2:10" ht="12">
      <c r="B31" s="29"/>
      <c r="C31" s="46" t="s">
        <v>75</v>
      </c>
      <c r="D31" s="95">
        <f>F27</f>
        <v>40.21</v>
      </c>
      <c r="E31" s="30"/>
      <c r="F31" s="31" t="s">
        <v>68</v>
      </c>
      <c r="H31" s="29" t="s">
        <v>119</v>
      </c>
      <c r="I31" s="30" t="s">
        <v>118</v>
      </c>
      <c r="J31" s="31">
        <v>686</v>
      </c>
    </row>
    <row r="32" spans="2:10" ht="12">
      <c r="B32" s="29"/>
      <c r="C32" s="30"/>
      <c r="D32" s="58"/>
      <c r="E32" s="30"/>
      <c r="F32" s="31"/>
      <c r="H32" s="124"/>
      <c r="I32" s="18"/>
      <c r="J32" s="125"/>
    </row>
    <row r="33" spans="2:10" ht="12">
      <c r="B33" s="29"/>
      <c r="C33" s="47" t="s">
        <v>0</v>
      </c>
      <c r="D33" s="96">
        <f>G27</f>
        <v>41.06</v>
      </c>
      <c r="E33" s="30"/>
      <c r="F33" s="31" t="s">
        <v>68</v>
      </c>
      <c r="H33" s="29" t="s">
        <v>120</v>
      </c>
      <c r="I33" s="30"/>
      <c r="J33" s="31">
        <f>J29-J31</f>
        <v>8</v>
      </c>
    </row>
    <row r="34" spans="2:10" ht="12">
      <c r="B34" s="29"/>
      <c r="C34" s="30"/>
      <c r="D34" s="30"/>
      <c r="E34" s="30"/>
      <c r="F34" s="31"/>
      <c r="H34" s="124"/>
      <c r="I34" s="18"/>
      <c r="J34" s="125"/>
    </row>
    <row r="35" spans="2:10" ht="12">
      <c r="B35" s="29"/>
      <c r="C35" s="30" t="s">
        <v>69</v>
      </c>
      <c r="D35" s="58">
        <f>D29/D31</f>
        <v>6.217358865953742</v>
      </c>
      <c r="E35" s="30"/>
      <c r="F35" s="31" t="s">
        <v>71</v>
      </c>
      <c r="H35" s="29" t="s">
        <v>121</v>
      </c>
      <c r="I35" s="30"/>
      <c r="J35" s="31">
        <f>D29</f>
        <v>250</v>
      </c>
    </row>
    <row r="36" spans="2:10" ht="12">
      <c r="B36" s="29"/>
      <c r="C36" s="30"/>
      <c r="D36" s="30"/>
      <c r="E36" s="30"/>
      <c r="F36" s="31"/>
      <c r="H36" s="124"/>
      <c r="I36" s="18"/>
      <c r="J36" s="125"/>
    </row>
    <row r="37" spans="2:10" ht="12">
      <c r="B37" s="33"/>
      <c r="C37" s="128" t="s">
        <v>69</v>
      </c>
      <c r="D37" s="129">
        <f>D35*3.6</f>
        <v>22.382491917433473</v>
      </c>
      <c r="E37" s="128"/>
      <c r="F37" s="35" t="s">
        <v>70</v>
      </c>
      <c r="H37" s="33" t="s">
        <v>122</v>
      </c>
      <c r="I37" s="126"/>
      <c r="J37" s="127">
        <f>J33/J35</f>
        <v>0.032</v>
      </c>
    </row>
  </sheetData>
  <sheetProtection/>
  <mergeCells count="4">
    <mergeCell ref="B2:K2"/>
    <mergeCell ref="B4:K4"/>
    <mergeCell ref="D6:I6"/>
    <mergeCell ref="B27:C27"/>
  </mergeCells>
  <conditionalFormatting sqref="B10:B17">
    <cfRule type="expression" priority="1" dxfId="0" stopIfTrue="1">
      <formula>AND(T10="X",U10="X")</formula>
    </cfRule>
    <cfRule type="expression" priority="2" dxfId="1" stopIfTrue="1">
      <formula>AND(Q10="X",R10="X")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33"/>
  <sheetViews>
    <sheetView zoomScale="150" zoomScaleNormal="150" zoomScalePageLayoutView="0" workbookViewId="0" topLeftCell="B1">
      <selection activeCell="F21" sqref="F21"/>
    </sheetView>
  </sheetViews>
  <sheetFormatPr defaultColWidth="11.421875" defaultRowHeight="12.75"/>
  <cols>
    <col min="1" max="1" width="5.7109375" style="0" customWidth="1"/>
    <col min="2" max="2" width="8.421875" style="0" bestFit="1" customWidth="1"/>
    <col min="3" max="3" width="25.00390625" style="0" customWidth="1"/>
    <col min="4" max="4" width="14.421875" style="0" bestFit="1" customWidth="1"/>
    <col min="5" max="5" width="15.00390625" style="0" bestFit="1" customWidth="1"/>
    <col min="6" max="6" width="13.7109375" style="0" bestFit="1" customWidth="1"/>
    <col min="7" max="7" width="14.28125" style="0" bestFit="1" customWidth="1"/>
    <col min="8" max="8" width="13.7109375" style="0" bestFit="1" customWidth="1"/>
    <col min="9" max="9" width="14.28125" style="0" bestFit="1" customWidth="1"/>
    <col min="12" max="12" width="5.7109375" style="0" customWidth="1"/>
  </cols>
  <sheetData>
    <row r="2" ht="12.75" thickBot="1"/>
    <row r="3" spans="2:11" ht="15.75" thickBot="1">
      <c r="B3" s="201" t="s">
        <v>39</v>
      </c>
      <c r="C3" s="202"/>
      <c r="D3" s="202"/>
      <c r="E3" s="202"/>
      <c r="F3" s="202"/>
      <c r="G3" s="202"/>
      <c r="H3" s="202"/>
      <c r="I3" s="202"/>
      <c r="J3" s="202"/>
      <c r="K3" s="203"/>
    </row>
    <row r="4" spans="2:11" ht="15.75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 thickBot="1">
      <c r="B5" s="201" t="s">
        <v>141</v>
      </c>
      <c r="C5" s="202"/>
      <c r="D5" s="202"/>
      <c r="E5" s="202"/>
      <c r="F5" s="202"/>
      <c r="G5" s="202"/>
      <c r="H5" s="202"/>
      <c r="I5" s="202"/>
      <c r="J5" s="202"/>
      <c r="K5" s="203"/>
    </row>
    <row r="6" spans="2:11" ht="15.7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.75" thickBot="1">
      <c r="B7" s="3"/>
      <c r="C7" s="3"/>
      <c r="D7" s="201" t="s">
        <v>53</v>
      </c>
      <c r="E7" s="202"/>
      <c r="F7" s="202"/>
      <c r="G7" s="202"/>
      <c r="H7" s="202"/>
      <c r="I7" s="20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.75" thickBot="1">
      <c r="B9" s="3"/>
      <c r="C9" s="3"/>
      <c r="D9" s="3" t="s">
        <v>82</v>
      </c>
      <c r="E9" s="3" t="s">
        <v>83</v>
      </c>
      <c r="F9" s="3" t="s">
        <v>82</v>
      </c>
      <c r="G9" s="3" t="s">
        <v>83</v>
      </c>
      <c r="H9" s="3" t="s">
        <v>82</v>
      </c>
      <c r="I9" s="3" t="s">
        <v>83</v>
      </c>
      <c r="J9" s="3"/>
      <c r="K9" s="3"/>
    </row>
    <row r="10" spans="2:11" ht="12">
      <c r="B10" s="4" t="s">
        <v>49</v>
      </c>
      <c r="C10" s="5" t="s">
        <v>50</v>
      </c>
      <c r="D10" s="5" t="s">
        <v>9</v>
      </c>
      <c r="E10" s="5" t="s">
        <v>90</v>
      </c>
      <c r="F10" s="5" t="s">
        <v>84</v>
      </c>
      <c r="G10" s="5" t="s">
        <v>85</v>
      </c>
      <c r="H10" s="5" t="s">
        <v>86</v>
      </c>
      <c r="I10" s="5" t="s">
        <v>87</v>
      </c>
      <c r="J10" s="5" t="s">
        <v>51</v>
      </c>
      <c r="K10" s="6" t="s">
        <v>52</v>
      </c>
    </row>
    <row r="11" spans="2:11" ht="12">
      <c r="B11" s="144">
        <v>15</v>
      </c>
      <c r="C11" s="145" t="s">
        <v>142</v>
      </c>
      <c r="D11" s="16">
        <v>32.65</v>
      </c>
      <c r="E11" s="107">
        <v>31.82</v>
      </c>
      <c r="F11" s="106">
        <v>32.32</v>
      </c>
      <c r="G11" s="107">
        <v>31.75</v>
      </c>
      <c r="H11" s="16">
        <v>32.27</v>
      </c>
      <c r="I11" s="16">
        <v>31.71</v>
      </c>
      <c r="J11" s="16">
        <f>SUM(F11:I11)</f>
        <v>128.05</v>
      </c>
      <c r="K11" s="43">
        <v>1</v>
      </c>
    </row>
    <row r="12" spans="2:11" ht="12">
      <c r="B12" s="144">
        <v>19</v>
      </c>
      <c r="C12" s="145" t="s">
        <v>59</v>
      </c>
      <c r="D12" s="16">
        <v>32.44</v>
      </c>
      <c r="E12" s="16">
        <v>31.93</v>
      </c>
      <c r="F12" s="16">
        <v>32.3</v>
      </c>
      <c r="G12" s="16">
        <v>31.88</v>
      </c>
      <c r="H12" s="16">
        <v>32.36</v>
      </c>
      <c r="I12" s="107">
        <v>31.81</v>
      </c>
      <c r="J12" s="16">
        <f>SUM(F12:I12)</f>
        <v>128.35</v>
      </c>
      <c r="K12" s="43">
        <v>2</v>
      </c>
    </row>
    <row r="13" spans="2:11" ht="12">
      <c r="B13" s="45">
        <v>18</v>
      </c>
      <c r="C13" s="90" t="s">
        <v>60</v>
      </c>
      <c r="D13" s="16">
        <v>32.99</v>
      </c>
      <c r="E13" s="16">
        <v>32.06</v>
      </c>
      <c r="F13" s="16">
        <v>32.25</v>
      </c>
      <c r="G13" s="16">
        <v>31.72</v>
      </c>
      <c r="H13" s="16">
        <v>32.69</v>
      </c>
      <c r="I13" s="16">
        <v>31.83</v>
      </c>
      <c r="J13" s="16">
        <f>SUM(F13:I13)</f>
        <v>128.49</v>
      </c>
      <c r="K13" s="43">
        <v>3</v>
      </c>
    </row>
    <row r="14" spans="2:11" ht="12">
      <c r="B14" s="144">
        <v>14</v>
      </c>
      <c r="C14" s="132" t="s">
        <v>143</v>
      </c>
      <c r="D14" s="16">
        <v>32.75</v>
      </c>
      <c r="E14" s="16">
        <v>32.02</v>
      </c>
      <c r="F14" s="16">
        <v>32.55</v>
      </c>
      <c r="G14" s="16">
        <v>31.7</v>
      </c>
      <c r="H14" s="106">
        <v>32.57</v>
      </c>
      <c r="I14" s="16">
        <v>31.94</v>
      </c>
      <c r="J14" s="16">
        <f aca="true" t="shared" si="0" ref="J14:J22">SUM(F14:I14)</f>
        <v>128.76</v>
      </c>
      <c r="K14" s="43">
        <v>4</v>
      </c>
    </row>
    <row r="15" spans="2:11" ht="12">
      <c r="B15" s="144">
        <v>17</v>
      </c>
      <c r="C15" s="132" t="s">
        <v>102</v>
      </c>
      <c r="D15" s="16"/>
      <c r="E15" s="16">
        <v>32.46</v>
      </c>
      <c r="F15" s="16">
        <v>32.58</v>
      </c>
      <c r="G15" s="16">
        <v>32</v>
      </c>
      <c r="H15" s="16">
        <v>32.73</v>
      </c>
      <c r="I15" s="16">
        <v>32.37</v>
      </c>
      <c r="J15" s="16">
        <f t="shared" si="0"/>
        <v>129.68</v>
      </c>
      <c r="K15" s="43">
        <v>5</v>
      </c>
    </row>
    <row r="16" spans="2:11" ht="12">
      <c r="B16" s="45">
        <v>23</v>
      </c>
      <c r="C16" s="145" t="s">
        <v>88</v>
      </c>
      <c r="D16" s="16">
        <v>33.44</v>
      </c>
      <c r="E16" s="16">
        <v>32</v>
      </c>
      <c r="F16" s="16">
        <v>32.88</v>
      </c>
      <c r="G16" s="16">
        <v>32.32</v>
      </c>
      <c r="H16" s="16">
        <v>33.1</v>
      </c>
      <c r="I16" s="16">
        <v>32.33</v>
      </c>
      <c r="J16" s="16">
        <f t="shared" si="0"/>
        <v>130.63</v>
      </c>
      <c r="K16" s="43">
        <v>6</v>
      </c>
    </row>
    <row r="17" spans="2:11" ht="12">
      <c r="B17" s="144">
        <v>16</v>
      </c>
      <c r="C17" s="90" t="s">
        <v>89</v>
      </c>
      <c r="D17" s="106">
        <v>33.42</v>
      </c>
      <c r="E17" s="16">
        <v>32.95</v>
      </c>
      <c r="F17" s="16">
        <v>33.08</v>
      </c>
      <c r="G17" s="16">
        <v>32.4</v>
      </c>
      <c r="H17" s="16">
        <v>33.01</v>
      </c>
      <c r="I17" s="16">
        <v>32.48</v>
      </c>
      <c r="J17" s="16">
        <f t="shared" si="0"/>
        <v>130.96999999999997</v>
      </c>
      <c r="K17" s="43">
        <v>7</v>
      </c>
    </row>
    <row r="18" spans="2:11" ht="12">
      <c r="B18" s="144">
        <v>22</v>
      </c>
      <c r="C18" s="145" t="s">
        <v>61</v>
      </c>
      <c r="D18" s="16">
        <v>33.85</v>
      </c>
      <c r="E18" s="16">
        <v>33.76</v>
      </c>
      <c r="F18" s="16">
        <v>33.42</v>
      </c>
      <c r="G18" s="16">
        <v>47.12</v>
      </c>
      <c r="H18" s="16">
        <v>52.51</v>
      </c>
      <c r="I18" s="16">
        <v>49.08</v>
      </c>
      <c r="J18" s="16">
        <f t="shared" si="0"/>
        <v>182.13</v>
      </c>
      <c r="K18" s="43">
        <v>8</v>
      </c>
    </row>
    <row r="19" spans="2:11" ht="12">
      <c r="B19" s="45"/>
      <c r="C19" s="146"/>
      <c r="D19" s="16"/>
      <c r="E19" s="16"/>
      <c r="F19" s="16"/>
      <c r="G19" s="16"/>
      <c r="H19" s="16"/>
      <c r="I19" s="16"/>
      <c r="J19" s="16">
        <f t="shared" si="0"/>
        <v>0</v>
      </c>
      <c r="K19" s="43">
        <v>9</v>
      </c>
    </row>
    <row r="20" spans="2:11" ht="12">
      <c r="B20" s="144"/>
      <c r="C20" s="147"/>
      <c r="D20" s="16"/>
      <c r="E20" s="16"/>
      <c r="F20" s="16"/>
      <c r="G20" s="16"/>
      <c r="H20" s="16"/>
      <c r="I20" s="16"/>
      <c r="J20" s="16">
        <f t="shared" si="0"/>
        <v>0</v>
      </c>
      <c r="K20" s="43">
        <v>10</v>
      </c>
    </row>
    <row r="21" spans="2:11" ht="12">
      <c r="B21" s="144"/>
      <c r="C21" s="147"/>
      <c r="D21" s="16"/>
      <c r="E21" s="16"/>
      <c r="F21" s="16"/>
      <c r="G21" s="16"/>
      <c r="H21" s="16"/>
      <c r="I21" s="16"/>
      <c r="J21" s="16">
        <f t="shared" si="0"/>
        <v>0</v>
      </c>
      <c r="K21" s="43">
        <v>11</v>
      </c>
    </row>
    <row r="22" spans="2:11" ht="12.75" thickBot="1">
      <c r="B22" s="45"/>
      <c r="C22" s="132"/>
      <c r="D22" s="16"/>
      <c r="E22" s="16"/>
      <c r="F22" s="16"/>
      <c r="G22" s="16"/>
      <c r="H22" s="16"/>
      <c r="I22" s="16"/>
      <c r="J22" s="16">
        <f t="shared" si="0"/>
        <v>0</v>
      </c>
      <c r="K22" s="43">
        <v>12</v>
      </c>
    </row>
    <row r="23" spans="2:11" ht="12.75" thickBot="1">
      <c r="B23" s="207" t="s">
        <v>1</v>
      </c>
      <c r="C23" s="208"/>
      <c r="D23" s="81">
        <f>MIN(D11:D22)</f>
        <v>32.44</v>
      </c>
      <c r="E23" s="81">
        <f>MIN(E11:E22)</f>
        <v>31.82</v>
      </c>
      <c r="F23" s="81">
        <f>MIN(F11:F22)</f>
        <v>32.25</v>
      </c>
      <c r="G23" s="81"/>
      <c r="H23" s="81"/>
      <c r="I23" s="81"/>
      <c r="J23" s="83"/>
      <c r="K23" s="82"/>
    </row>
    <row r="25" spans="2:11" ht="12">
      <c r="B25" s="26"/>
      <c r="C25" s="27" t="s">
        <v>66</v>
      </c>
      <c r="D25" s="27">
        <v>317</v>
      </c>
      <c r="E25" s="27" t="s">
        <v>74</v>
      </c>
      <c r="F25" s="28" t="s">
        <v>67</v>
      </c>
      <c r="H25" s="122" t="s">
        <v>117</v>
      </c>
      <c r="I25" s="27" t="s">
        <v>118</v>
      </c>
      <c r="J25" s="123">
        <v>309</v>
      </c>
      <c r="K25" s="76"/>
    </row>
    <row r="26" spans="2:10" ht="12">
      <c r="B26" s="29"/>
      <c r="C26" s="30"/>
      <c r="D26" s="30"/>
      <c r="E26" s="30"/>
      <c r="F26" s="31"/>
      <c r="H26" s="124"/>
      <c r="I26" s="18"/>
      <c r="J26" s="125"/>
    </row>
    <row r="27" spans="2:11" ht="12">
      <c r="B27" s="29"/>
      <c r="C27" s="46" t="s">
        <v>8</v>
      </c>
      <c r="D27" s="57">
        <f>F23</f>
        <v>32.25</v>
      </c>
      <c r="E27" s="30"/>
      <c r="F27" s="31" t="s">
        <v>68</v>
      </c>
      <c r="H27" s="29" t="s">
        <v>119</v>
      </c>
      <c r="I27" s="30" t="s">
        <v>118</v>
      </c>
      <c r="J27" s="31">
        <v>297</v>
      </c>
      <c r="K27" s="48"/>
    </row>
    <row r="28" spans="2:10" ht="12">
      <c r="B28" s="29"/>
      <c r="C28" s="30"/>
      <c r="D28" s="30"/>
      <c r="E28" s="30"/>
      <c r="F28" s="31"/>
      <c r="H28" s="124"/>
      <c r="I28" s="18"/>
      <c r="J28" s="125"/>
    </row>
    <row r="29" spans="2:10" ht="12">
      <c r="B29" s="29"/>
      <c r="C29" s="47" t="s">
        <v>108</v>
      </c>
      <c r="D29" s="51">
        <f>I11</f>
        <v>31.71</v>
      </c>
      <c r="E29" s="30"/>
      <c r="F29" s="31" t="s">
        <v>68</v>
      </c>
      <c r="H29" s="29" t="s">
        <v>120</v>
      </c>
      <c r="I29" s="30"/>
      <c r="J29" s="31">
        <f>J25-J27</f>
        <v>12</v>
      </c>
    </row>
    <row r="30" spans="2:10" ht="12">
      <c r="B30" s="29"/>
      <c r="C30" s="30"/>
      <c r="D30" s="30"/>
      <c r="E30" s="30"/>
      <c r="F30" s="31"/>
      <c r="H30" s="124"/>
      <c r="I30" s="18"/>
      <c r="J30" s="125"/>
    </row>
    <row r="31" spans="2:10" ht="12">
      <c r="B31" s="29"/>
      <c r="C31" s="30" t="s">
        <v>69</v>
      </c>
      <c r="D31" s="36">
        <f>D25/D27</f>
        <v>9.829457364341085</v>
      </c>
      <c r="E31" s="30"/>
      <c r="F31" s="31" t="s">
        <v>71</v>
      </c>
      <c r="H31" s="29" t="s">
        <v>121</v>
      </c>
      <c r="I31" s="30"/>
      <c r="J31" s="31">
        <f>D25</f>
        <v>317</v>
      </c>
    </row>
    <row r="32" spans="2:10" ht="12">
      <c r="B32" s="29"/>
      <c r="C32" s="30"/>
      <c r="D32" s="30"/>
      <c r="E32" s="30"/>
      <c r="F32" s="31"/>
      <c r="H32" s="124"/>
      <c r="I32" s="18"/>
      <c r="J32" s="125"/>
    </row>
    <row r="33" spans="2:10" ht="12">
      <c r="B33" s="33"/>
      <c r="C33" s="128" t="s">
        <v>69</v>
      </c>
      <c r="D33" s="34">
        <f>D31*3.6</f>
        <v>35.38604651162791</v>
      </c>
      <c r="E33" s="128"/>
      <c r="F33" s="35" t="s">
        <v>70</v>
      </c>
      <c r="H33" s="33" t="s">
        <v>122</v>
      </c>
      <c r="I33" s="126"/>
      <c r="J33" s="127">
        <f>J29/J31</f>
        <v>0.03785488958990536</v>
      </c>
    </row>
  </sheetData>
  <sheetProtection/>
  <mergeCells count="4">
    <mergeCell ref="B3:K3"/>
    <mergeCell ref="B5:K5"/>
    <mergeCell ref="D7:I7"/>
    <mergeCell ref="B23:C2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3"/>
  <sheetViews>
    <sheetView zoomScale="150" zoomScaleNormal="150" zoomScalePageLayoutView="0" workbookViewId="0" topLeftCell="A52">
      <selection activeCell="D10" sqref="D10"/>
    </sheetView>
  </sheetViews>
  <sheetFormatPr defaultColWidth="11.421875" defaultRowHeight="12.75"/>
  <cols>
    <col min="1" max="1" width="1.421875" style="0" customWidth="1"/>
    <col min="2" max="2" width="8.421875" style="0" bestFit="1" customWidth="1"/>
    <col min="3" max="3" width="22.28125" style="0" customWidth="1"/>
    <col min="4" max="5" width="13.7109375" style="0" customWidth="1"/>
    <col min="6" max="10" width="13.28125" style="0" customWidth="1"/>
    <col min="11" max="11" width="9.140625" style="0" customWidth="1"/>
    <col min="12" max="12" width="8.140625" style="0" bestFit="1" customWidth="1"/>
    <col min="13" max="13" width="1.421875" style="0" customWidth="1"/>
  </cols>
  <sheetData>
    <row r="1" ht="12.75" thickBot="1"/>
    <row r="2" spans="2:11" ht="15.75" thickBot="1">
      <c r="B2" s="201" t="s">
        <v>139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.75" thickBot="1">
      <c r="B4" s="201"/>
      <c r="C4" s="202"/>
      <c r="D4" s="202"/>
      <c r="E4" s="202"/>
      <c r="F4" s="202"/>
      <c r="G4" s="202"/>
      <c r="H4" s="202"/>
      <c r="I4" s="202"/>
      <c r="J4" s="202"/>
      <c r="K4" s="203"/>
    </row>
    <row r="5" spans="2:11" ht="15.75" thickBo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thickBot="1">
      <c r="B6" s="3"/>
      <c r="C6" s="3"/>
      <c r="D6" s="201" t="s">
        <v>53</v>
      </c>
      <c r="E6" s="202"/>
      <c r="F6" s="202"/>
      <c r="G6" s="202"/>
      <c r="H6" s="202"/>
      <c r="I6" s="203"/>
      <c r="J6" s="3"/>
      <c r="K6" s="3"/>
    </row>
    <row r="8" spans="2:11" ht="12.75" thickBot="1">
      <c r="B8" s="53"/>
      <c r="C8" s="48"/>
      <c r="D8" s="77"/>
      <c r="E8" s="77"/>
      <c r="F8" s="77"/>
      <c r="G8" s="77"/>
      <c r="H8" s="77"/>
      <c r="I8" s="77"/>
      <c r="J8" s="77"/>
      <c r="K8" s="18"/>
    </row>
    <row r="9" spans="2:11" ht="12">
      <c r="B9" s="4" t="s">
        <v>49</v>
      </c>
      <c r="C9" s="5" t="s">
        <v>50</v>
      </c>
      <c r="D9" s="5" t="s">
        <v>3</v>
      </c>
      <c r="E9" s="5" t="s">
        <v>4</v>
      </c>
      <c r="F9" s="5" t="s">
        <v>132</v>
      </c>
      <c r="G9" s="5" t="s">
        <v>133</v>
      </c>
      <c r="H9" s="5" t="s">
        <v>134</v>
      </c>
      <c r="I9" s="5" t="s">
        <v>135</v>
      </c>
      <c r="J9" s="5" t="s">
        <v>51</v>
      </c>
      <c r="K9" s="6" t="s">
        <v>52</v>
      </c>
    </row>
    <row r="10" spans="2:11" ht="12">
      <c r="B10" s="136">
        <v>62</v>
      </c>
      <c r="C10" s="15" t="s">
        <v>142</v>
      </c>
      <c r="D10" s="106"/>
      <c r="E10" s="133"/>
      <c r="F10" s="142"/>
      <c r="G10" s="133"/>
      <c r="H10" s="142"/>
      <c r="I10" s="143"/>
      <c r="J10" s="16">
        <f>SUM(F10:I10)</f>
        <v>0</v>
      </c>
      <c r="K10" s="43">
        <v>1</v>
      </c>
    </row>
    <row r="11" spans="2:11" ht="12">
      <c r="B11" s="136">
        <v>63</v>
      </c>
      <c r="C11" s="90"/>
      <c r="D11" s="16"/>
      <c r="E11" s="133"/>
      <c r="F11" s="133"/>
      <c r="G11" s="133"/>
      <c r="H11" s="133"/>
      <c r="I11" s="133"/>
      <c r="J11" s="16">
        <f aca="true" t="shared" si="0" ref="J11:J19">SUM(F11:I11)</f>
        <v>0</v>
      </c>
      <c r="K11" s="43">
        <v>2</v>
      </c>
    </row>
    <row r="12" spans="2:11" ht="12">
      <c r="B12" s="136">
        <v>61</v>
      </c>
      <c r="C12" s="15"/>
      <c r="D12" s="16"/>
      <c r="E12" s="133"/>
      <c r="F12" s="133"/>
      <c r="G12" s="143"/>
      <c r="H12" s="133"/>
      <c r="I12" s="133"/>
      <c r="J12" s="16">
        <f t="shared" si="0"/>
        <v>0</v>
      </c>
      <c r="K12" s="43">
        <v>3</v>
      </c>
    </row>
    <row r="13" spans="2:11" ht="12">
      <c r="B13" s="151">
        <v>65</v>
      </c>
      <c r="C13" s="90"/>
      <c r="D13" s="16"/>
      <c r="E13" s="163"/>
      <c r="F13" s="92"/>
      <c r="G13" s="92"/>
      <c r="H13" s="92"/>
      <c r="I13" s="92"/>
      <c r="J13" s="16">
        <f t="shared" si="0"/>
        <v>0</v>
      </c>
      <c r="K13" s="43">
        <v>4</v>
      </c>
    </row>
    <row r="14" spans="2:11" ht="12">
      <c r="B14" s="151">
        <v>64</v>
      </c>
      <c r="C14" s="90"/>
      <c r="D14" s="16"/>
      <c r="E14" s="16"/>
      <c r="F14" s="92"/>
      <c r="G14" s="92"/>
      <c r="H14" s="92"/>
      <c r="I14" s="92"/>
      <c r="J14" s="16">
        <f t="shared" si="0"/>
        <v>0</v>
      </c>
      <c r="K14" s="43">
        <v>5</v>
      </c>
    </row>
    <row r="15" spans="2:11" ht="12">
      <c r="B15" s="152">
        <v>66</v>
      </c>
      <c r="C15" s="15"/>
      <c r="D15" s="16"/>
      <c r="E15" s="16"/>
      <c r="F15" s="92"/>
      <c r="G15" s="92"/>
      <c r="H15" s="92"/>
      <c r="I15" s="92"/>
      <c r="J15" s="16">
        <f t="shared" si="0"/>
        <v>0</v>
      </c>
      <c r="K15" s="8">
        <v>6</v>
      </c>
    </row>
    <row r="16" spans="2:11" ht="12">
      <c r="B16" s="151"/>
      <c r="C16" s="15"/>
      <c r="D16" s="16"/>
      <c r="E16" s="16"/>
      <c r="F16" s="92"/>
      <c r="G16" s="92"/>
      <c r="H16" s="92"/>
      <c r="I16" s="92"/>
      <c r="J16" s="16">
        <f t="shared" si="0"/>
        <v>0</v>
      </c>
      <c r="K16" s="8">
        <v>7</v>
      </c>
    </row>
    <row r="17" spans="2:11" ht="12">
      <c r="B17" s="151"/>
      <c r="C17" s="15"/>
      <c r="D17" s="16"/>
      <c r="E17" s="16"/>
      <c r="F17" s="92"/>
      <c r="G17" s="92"/>
      <c r="H17" s="92"/>
      <c r="I17" s="92"/>
      <c r="J17" s="16">
        <f t="shared" si="0"/>
        <v>0</v>
      </c>
      <c r="K17" s="8">
        <v>8</v>
      </c>
    </row>
    <row r="18" spans="2:11" ht="12">
      <c r="B18" s="151"/>
      <c r="C18" s="15"/>
      <c r="D18" s="16"/>
      <c r="E18" s="16"/>
      <c r="F18" s="92"/>
      <c r="G18" s="92"/>
      <c r="H18" s="92"/>
      <c r="I18" s="92"/>
      <c r="J18" s="16">
        <f t="shared" si="0"/>
        <v>0</v>
      </c>
      <c r="K18" s="8">
        <v>9</v>
      </c>
    </row>
    <row r="19" spans="2:11" ht="12.75" thickBot="1">
      <c r="B19" s="141"/>
      <c r="C19" s="50"/>
      <c r="D19" s="98"/>
      <c r="E19" s="98"/>
      <c r="F19" s="150"/>
      <c r="G19" s="150"/>
      <c r="H19" s="150"/>
      <c r="I19" s="150"/>
      <c r="J19" s="16">
        <f t="shared" si="0"/>
        <v>0</v>
      </c>
      <c r="K19" s="42">
        <v>15</v>
      </c>
    </row>
    <row r="20" spans="2:11" ht="12.75" thickBot="1">
      <c r="B20" s="207" t="s">
        <v>1</v>
      </c>
      <c r="C20" s="208"/>
      <c r="D20" s="81">
        <f aca="true" t="shared" si="1" ref="D20:I20">MIN(D10:D19)</f>
        <v>0</v>
      </c>
      <c r="E20" s="81">
        <f t="shared" si="1"/>
        <v>0</v>
      </c>
      <c r="F20" s="81">
        <f t="shared" si="1"/>
        <v>0</v>
      </c>
      <c r="G20" s="81">
        <f t="shared" si="1"/>
        <v>0</v>
      </c>
      <c r="H20" s="81">
        <f t="shared" si="1"/>
        <v>0</v>
      </c>
      <c r="I20" s="81">
        <f t="shared" si="1"/>
        <v>0</v>
      </c>
      <c r="J20" s="81"/>
      <c r="K20" s="82"/>
    </row>
    <row r="22" spans="2:11" ht="12" hidden="1">
      <c r="B22" s="26"/>
      <c r="C22" s="27" t="s">
        <v>66</v>
      </c>
      <c r="D22" s="27">
        <v>340</v>
      </c>
      <c r="E22" s="27" t="s">
        <v>74</v>
      </c>
      <c r="F22" s="28" t="s">
        <v>67</v>
      </c>
      <c r="H22" s="122" t="s">
        <v>117</v>
      </c>
      <c r="I22" s="27" t="s">
        <v>118</v>
      </c>
      <c r="J22" s="123">
        <v>379</v>
      </c>
      <c r="K22" s="76"/>
    </row>
    <row r="23" spans="2:10" ht="12" hidden="1">
      <c r="B23" s="29"/>
      <c r="C23" s="30"/>
      <c r="D23" s="30"/>
      <c r="E23" s="30"/>
      <c r="F23" s="31"/>
      <c r="H23" s="124"/>
      <c r="I23" s="18"/>
      <c r="J23" s="125"/>
    </row>
    <row r="24" spans="2:10" ht="12" hidden="1">
      <c r="B24" s="29"/>
      <c r="C24" s="46" t="s">
        <v>75</v>
      </c>
      <c r="D24" s="57">
        <f>H20</f>
        <v>0</v>
      </c>
      <c r="E24" s="30"/>
      <c r="F24" s="31" t="s">
        <v>68</v>
      </c>
      <c r="H24" s="29" t="s">
        <v>119</v>
      </c>
      <c r="I24" s="30" t="s">
        <v>118</v>
      </c>
      <c r="J24" s="31">
        <v>367</v>
      </c>
    </row>
    <row r="25" spans="2:10" ht="12" hidden="1">
      <c r="B25" s="29"/>
      <c r="C25" s="30"/>
      <c r="D25" s="30"/>
      <c r="E25" s="30"/>
      <c r="F25" s="31"/>
      <c r="H25" s="124"/>
      <c r="I25" s="18"/>
      <c r="J25" s="125"/>
    </row>
    <row r="26" spans="2:10" ht="12" hidden="1">
      <c r="B26" s="29"/>
      <c r="C26" s="47" t="s">
        <v>0</v>
      </c>
      <c r="D26" s="51">
        <f>I20</f>
        <v>0</v>
      </c>
      <c r="E26" s="30"/>
      <c r="F26" s="31" t="s">
        <v>68</v>
      </c>
      <c r="H26" s="29" t="s">
        <v>120</v>
      </c>
      <c r="I26" s="30"/>
      <c r="J26" s="31">
        <f>J22-J24</f>
        <v>12</v>
      </c>
    </row>
    <row r="27" spans="2:10" ht="12" hidden="1">
      <c r="B27" s="29"/>
      <c r="C27" s="30"/>
      <c r="D27" s="30"/>
      <c r="E27" s="30"/>
      <c r="F27" s="31"/>
      <c r="H27" s="124"/>
      <c r="I27" s="18"/>
      <c r="J27" s="125"/>
    </row>
    <row r="28" spans="2:10" ht="12" hidden="1">
      <c r="B28" s="29"/>
      <c r="C28" s="30" t="s">
        <v>69</v>
      </c>
      <c r="D28" s="58" t="e">
        <f>D22/D24</f>
        <v>#DIV/0!</v>
      </c>
      <c r="E28" s="30"/>
      <c r="F28" s="31" t="s">
        <v>71</v>
      </c>
      <c r="H28" s="29" t="s">
        <v>121</v>
      </c>
      <c r="I28" s="30"/>
      <c r="J28" s="31">
        <v>300</v>
      </c>
    </row>
    <row r="29" spans="2:10" ht="12" hidden="1">
      <c r="B29" s="29"/>
      <c r="C29" s="30"/>
      <c r="D29" s="30"/>
      <c r="E29" s="30"/>
      <c r="F29" s="31"/>
      <c r="H29" s="124"/>
      <c r="I29" s="18"/>
      <c r="J29" s="125"/>
    </row>
    <row r="30" spans="2:10" ht="12" hidden="1">
      <c r="B30" s="33"/>
      <c r="C30" s="128" t="s">
        <v>69</v>
      </c>
      <c r="D30" s="129" t="e">
        <f>D28*3.6</f>
        <v>#DIV/0!</v>
      </c>
      <c r="E30" s="128"/>
      <c r="F30" s="35" t="s">
        <v>70</v>
      </c>
      <c r="H30" s="33" t="s">
        <v>122</v>
      </c>
      <c r="I30" s="126"/>
      <c r="J30" s="127">
        <f>J26/J28</f>
        <v>0.04</v>
      </c>
    </row>
    <row r="31" spans="2:6" ht="12" hidden="1">
      <c r="B31" s="84"/>
      <c r="C31" s="30"/>
      <c r="D31" s="30"/>
      <c r="E31" s="30"/>
      <c r="F31" s="85"/>
    </row>
    <row r="32" spans="2:6" ht="12" hidden="1">
      <c r="B32" s="84" t="s">
        <v>123</v>
      </c>
      <c r="C32" s="32"/>
      <c r="D32" s="36">
        <f>J10-J11</f>
        <v>0</v>
      </c>
      <c r="E32" s="36"/>
      <c r="F32" s="85" t="s">
        <v>68</v>
      </c>
    </row>
    <row r="33" spans="2:6" ht="12" hidden="1">
      <c r="B33" s="84"/>
      <c r="C33" s="30"/>
      <c r="D33" s="30"/>
      <c r="E33" s="30"/>
      <c r="F33" s="85"/>
    </row>
    <row r="34" spans="2:6" ht="12.75" hidden="1" thickBot="1">
      <c r="B34" s="86" t="s">
        <v>123</v>
      </c>
      <c r="C34" s="87"/>
      <c r="D34" s="88" t="e">
        <f>D28*D32</f>
        <v>#DIV/0!</v>
      </c>
      <c r="E34" s="88"/>
      <c r="F34" s="89" t="s">
        <v>67</v>
      </c>
    </row>
    <row r="35" spans="2:10" ht="12">
      <c r="B35" s="26"/>
      <c r="C35" s="27" t="s">
        <v>66</v>
      </c>
      <c r="D35" s="27">
        <v>320</v>
      </c>
      <c r="E35" s="27" t="s">
        <v>74</v>
      </c>
      <c r="F35" s="28" t="s">
        <v>67</v>
      </c>
      <c r="H35" s="122" t="s">
        <v>117</v>
      </c>
      <c r="I35" s="27" t="s">
        <v>118</v>
      </c>
      <c r="J35" s="123">
        <v>378</v>
      </c>
    </row>
    <row r="36" spans="2:10" ht="12">
      <c r="B36" s="29"/>
      <c r="C36" s="30"/>
      <c r="D36" s="30"/>
      <c r="E36" s="30"/>
      <c r="F36" s="31"/>
      <c r="H36" s="124"/>
      <c r="I36" s="18"/>
      <c r="J36" s="125"/>
    </row>
    <row r="37" spans="2:10" ht="12">
      <c r="B37" s="29"/>
      <c r="C37" s="46" t="s">
        <v>8</v>
      </c>
      <c r="D37" s="95">
        <f>F20</f>
        <v>0</v>
      </c>
      <c r="E37" s="30"/>
      <c r="F37" s="31" t="s">
        <v>68</v>
      </c>
      <c r="H37" s="29" t="s">
        <v>119</v>
      </c>
      <c r="I37" s="30" t="s">
        <v>118</v>
      </c>
      <c r="J37" s="31">
        <v>367</v>
      </c>
    </row>
    <row r="38" spans="2:10" ht="12">
      <c r="B38" s="29"/>
      <c r="C38" s="30"/>
      <c r="D38" s="58"/>
      <c r="E38" s="30"/>
      <c r="F38" s="31"/>
      <c r="H38" s="124"/>
      <c r="I38" s="18"/>
      <c r="J38" s="125"/>
    </row>
    <row r="39" spans="2:10" ht="12">
      <c r="B39" s="29"/>
      <c r="C39" s="47" t="s">
        <v>108</v>
      </c>
      <c r="D39" s="96">
        <f>G20</f>
        <v>0</v>
      </c>
      <c r="E39" s="30"/>
      <c r="F39" s="31" t="s">
        <v>68</v>
      </c>
      <c r="H39" s="29" t="s">
        <v>120</v>
      </c>
      <c r="I39" s="30"/>
      <c r="J39" s="31">
        <f>J35-J37</f>
        <v>11</v>
      </c>
    </row>
    <row r="40" spans="2:10" ht="12">
      <c r="B40" s="29"/>
      <c r="C40" s="30"/>
      <c r="D40" s="30"/>
      <c r="E40" s="30"/>
      <c r="F40" s="31"/>
      <c r="H40" s="124"/>
      <c r="I40" s="18"/>
      <c r="J40" s="125"/>
    </row>
    <row r="41" spans="2:10" ht="12">
      <c r="B41" s="29"/>
      <c r="C41" s="30" t="s">
        <v>69</v>
      </c>
      <c r="D41" s="58" t="e">
        <f>D35/D37</f>
        <v>#DIV/0!</v>
      </c>
      <c r="E41" s="30"/>
      <c r="F41" s="31" t="s">
        <v>71</v>
      </c>
      <c r="H41" s="29" t="s">
        <v>121</v>
      </c>
      <c r="I41" s="30"/>
      <c r="J41" s="31">
        <v>320</v>
      </c>
    </row>
    <row r="42" spans="2:10" ht="12">
      <c r="B42" s="29"/>
      <c r="C42" s="30"/>
      <c r="D42" s="30"/>
      <c r="E42" s="30"/>
      <c r="F42" s="31"/>
      <c r="H42" s="124"/>
      <c r="I42" s="18"/>
      <c r="J42" s="125"/>
    </row>
    <row r="43" spans="2:10" ht="12">
      <c r="B43" s="33"/>
      <c r="C43" s="128" t="s">
        <v>69</v>
      </c>
      <c r="D43" s="129" t="e">
        <f>D41*3.6</f>
        <v>#DIV/0!</v>
      </c>
      <c r="E43" s="128"/>
      <c r="F43" s="35" t="s">
        <v>70</v>
      </c>
      <c r="H43" s="33" t="s">
        <v>122</v>
      </c>
      <c r="I43" s="126"/>
      <c r="J43" s="127">
        <f>J39/J41</f>
        <v>0.034375</v>
      </c>
    </row>
  </sheetData>
  <sheetProtection/>
  <mergeCells count="4">
    <mergeCell ref="B2:K2"/>
    <mergeCell ref="B4:K4"/>
    <mergeCell ref="D6:I6"/>
    <mergeCell ref="B20:C20"/>
  </mergeCells>
  <printOptions horizontalCentered="1" verticalCentered="1"/>
  <pageMargins left="0" right="0" top="0.1968503937007874" bottom="0.1968503937007874" header="0.11811023622047245" footer="0.1181102362204724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Axel Waldmann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Waldmann</dc:creator>
  <cp:keywords/>
  <dc:description/>
  <cp:lastModifiedBy>admin</cp:lastModifiedBy>
  <cp:lastPrinted>2011-09-09T07:27:58Z</cp:lastPrinted>
  <dcterms:created xsi:type="dcterms:W3CDTF">2001-07-30T16:26:02Z</dcterms:created>
  <dcterms:modified xsi:type="dcterms:W3CDTF">2015-07-21T08:13:26Z</dcterms:modified>
  <cp:category/>
  <cp:version/>
  <cp:contentType/>
  <cp:contentStatus/>
</cp:coreProperties>
</file>